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X:\1512800\201857.02\TECH\RAISE Grant ONT\Benefit Cost Analysis\ToSend\"/>
    </mc:Choice>
  </mc:AlternateContent>
  <xr:revisionPtr revIDLastSave="0" documentId="13_ncr:1_{A7AD81E3-5B3D-48BF-9CEF-2E0B6200AD98}" xr6:coauthVersionLast="47" xr6:coauthVersionMax="47" xr10:uidLastSave="{00000000-0000-0000-0000-000000000000}"/>
  <bookViews>
    <workbookView xWindow="28680" yWindow="-120" windowWidth="29040" windowHeight="15840" tabRatio="698" xr2:uid="{8EF9C8FD-DF75-488F-B3AF-E6A0B492FA42}"/>
    <workbookView xWindow="28680" yWindow="-120" windowWidth="29040" windowHeight="15840" activeTab="8" xr2:uid="{FB8F2AB1-0EA7-4434-ACD0-880A724F9C02}"/>
  </bookViews>
  <sheets>
    <sheet name="Overview" sheetId="1" r:id="rId1"/>
    <sheet name="Notes" sheetId="22" r:id="rId2"/>
    <sheet name="Demand Analysis" sheetId="18" r:id="rId3"/>
    <sheet name="Travel Time NVP" sheetId="12" r:id="rId4"/>
    <sheet name="User Cost NPV" sheetId="15" r:id="rId5"/>
    <sheet name="Reliability" sheetId="26" r:id="rId6"/>
    <sheet name="Freight Operations Benefits" sheetId="27" r:id="rId7"/>
    <sheet name="Air Quality NPV" sheetId="20" r:id="rId8"/>
    <sheet name="Safety NPV" sheetId="13" r:id="rId9"/>
    <sheet name="CostItems" sheetId="25" r:id="rId10"/>
    <sheet name="Cap Costs NPV " sheetId="7" r:id="rId11"/>
    <sheet name="O&amp;M Costs NPV " sheetId="9" r:id="rId12"/>
    <sheet name="CPI Factor Calculations" sheetId="17" r:id="rId13"/>
  </sheets>
  <externalReferences>
    <externalReference r:id="rId14"/>
    <externalReference r:id="rId15"/>
  </externalReferences>
  <definedNames>
    <definedName name="_xlnm._FilterDatabase" localSheetId="2" hidden="1">'Demand Analysis'!$D$75:$D$79</definedName>
    <definedName name="Accidents">'[1]3) Results'!$H$35</definedName>
    <definedName name="ADT0CycEX">#REF!</definedName>
    <definedName name="ADT0CycEX_SRTS">#REF!</definedName>
    <definedName name="ADT0CycNew">#REF!</definedName>
    <definedName name="ADT0CycNew_SRTS">#REF!</definedName>
    <definedName name="ADT0PedEX">#REF!</definedName>
    <definedName name="ADT0PedEX_SRTS">#REF!</definedName>
    <definedName name="ADT0PedNew">#REF!</definedName>
    <definedName name="ADT0PedNew_SRTS">#REF!</definedName>
    <definedName name="ADT1CycBEX">#REF!</definedName>
    <definedName name="ADT1CycBEX_SRTS">#REF!</definedName>
    <definedName name="ADT1CycBNew">#REF!</definedName>
    <definedName name="ADT1CycBNew_SRTS">#REF!</definedName>
    <definedName name="ADT1CycNBEX">#REF!</definedName>
    <definedName name="ADT1CycNBEX_SRTS">#REF!</definedName>
    <definedName name="ADT1CycNBNew">#REF!</definedName>
    <definedName name="ADT1CycNBNew_SRTS">#REF!</definedName>
    <definedName name="ADT1PedBEX">#REF!</definedName>
    <definedName name="ADT1PedBEX_SRTS">#REF!</definedName>
    <definedName name="ADT1PedBNew">#REF!</definedName>
    <definedName name="ADT1PedBNew_SRTS">#REF!</definedName>
    <definedName name="ADT1PedNBEX">#REF!</definedName>
    <definedName name="ADT1PedNBEX_SRTS">#REF!</definedName>
    <definedName name="ADT1PedNBNew">#REF!</definedName>
    <definedName name="ADT1PedNBNew_SRTS">#REF!</definedName>
    <definedName name="AlphaSTD">[1]PARAMETERS!$EL$12</definedName>
    <definedName name="AlphaTTI">[1]PARAMETERS!$EJ$12</definedName>
    <definedName name="Annual_Traffic_Growth_Rate">'[2]START Assumptions'!$B$39</definedName>
    <definedName name="AnnualFactor">[1]PARAMETERS!$M$24</definedName>
    <definedName name="Auto_Occ" localSheetId="7">'[2]START Assumptions'!#REF!</definedName>
    <definedName name="Auto_Occ">'[2]START Assumptions'!#REF!</definedName>
    <definedName name="Auto_Op_Cost">'[2]START Assumptions'!$B$37</definedName>
    <definedName name="Ave_Fatal_Cost" localSheetId="7">'[2]START Assumptions'!#REF!</definedName>
    <definedName name="Ave_Fatal_Cost">'[2]START Assumptions'!#REF!</definedName>
    <definedName name="Ave_PD_Cost" localSheetId="7">'[2]START Assumptions'!#REF!</definedName>
    <definedName name="Ave_PD_Cost">'[2]START Assumptions'!#REF!</definedName>
    <definedName name="Ave_Type_A_Cost" localSheetId="7">'[2]START Assumptions'!#REF!</definedName>
    <definedName name="Ave_Type_A_Cost">'[2]START Assumptions'!#REF!</definedName>
    <definedName name="Ave_Type_B_Cost" localSheetId="7">'[2]START Assumptions'!#REF!</definedName>
    <definedName name="Ave_Type_B_Cost">'[2]START Assumptions'!#REF!</definedName>
    <definedName name="Ave_Type_C_Cost" localSheetId="7">'[2]START Assumptions'!#REF!</definedName>
    <definedName name="Ave_Type_C_Cost">'[2]START Assumptions'!#REF!</definedName>
    <definedName name="Ave_Type_Fatal_Cost" localSheetId="7">'[2]START Assumptions'!#REF!</definedName>
    <definedName name="Ave_Type_Fatal_Cost">'[2]START Assumptions'!#REF!</definedName>
    <definedName name="Ave_Type_PD_Cost" localSheetId="7">'[2]START Assumptions'!#REF!</definedName>
    <definedName name="Ave_Type_PD_Cost">'[2]START Assumptions'!#REF!</definedName>
    <definedName name="Avg_Crash_Cost" localSheetId="7">'[2]START Assumptions'!#REF!</definedName>
    <definedName name="Avg_Crash_Cost">'[2]START Assumptions'!#REF!</definedName>
    <definedName name="Base_Year">'[2]START Assumptions'!$B$31</definedName>
    <definedName name="Base_Year_Traffic" localSheetId="7">'[2]START Assumptions'!#REF!</definedName>
    <definedName name="Base_Year_Traffic">'[2]START Assumptions'!#REF!</definedName>
    <definedName name="Benefit_Period">'[2]START Assumptions'!$B$33</definedName>
    <definedName name="BetaSTD">[1]PARAMETERS!$EM$12</definedName>
    <definedName name="BetaTTI">[1]PARAMETERS!$EK$12</definedName>
    <definedName name="CO2Uprater">[1]PARAMETERS!$CR$16</definedName>
    <definedName name="Const_Comp_Year">'[2]START Assumptions'!$B$32</definedName>
    <definedName name="Construct">#REF!</definedName>
    <definedName name="Crash_Rate_AC" localSheetId="7">'[2]START Assumptions'!#REF!</definedName>
    <definedName name="Crash_Rate_AC">'[2]START Assumptions'!#REF!</definedName>
    <definedName name="Crash_Rate_BC" localSheetId="7">'[2]START Assumptions'!#REF!</definedName>
    <definedName name="Crash_Rate_BC">'[2]START Assumptions'!#REF!</definedName>
    <definedName name="Discount_Rate">'[2]START Assumptions'!$B$35</definedName>
    <definedName name="DiscRate">[1]PARAMETERS!$F$12</definedName>
    <definedName name="DivIndTrips">'[1]2) Model Inputs'!$V$11:$AD$12</definedName>
    <definedName name="EmAuto1">[1]PARAMETERS!$BQ$12:$BX$78</definedName>
    <definedName name="EmAuto20">[1]PARAMETERS!$CC$12:$CJ$78</definedName>
    <definedName name="EmBus1">[1]PARAMETERS!$BQ$148:$BX$214</definedName>
    <definedName name="EmBus20">[1]PARAMETERS!$CC$148:$CJ$214</definedName>
    <definedName name="EmCost">[1]PARAMETERS!$CP$12:$CV$14</definedName>
    <definedName name="Emissions">'[1]3) Results'!$H$37</definedName>
    <definedName name="EmTruck1">[1]PARAMETERS!$BQ$80:$BX$146</definedName>
    <definedName name="EmTruck20">[1]PARAMETERS!$CC$80:$CJ$146</definedName>
    <definedName name="Fatal_Crash_Cost" localSheetId="7">'[2]START Assumptions'!#REF!</definedName>
    <definedName name="Fatal_Crash_Cost">'[2]START Assumptions'!#REF!</definedName>
    <definedName name="Fatal_Crash_Rate_AC" localSheetId="7">'[2]START Assumptions'!#REF!</definedName>
    <definedName name="Fatal_Crash_Rate_AC">'[2]START Assumptions'!#REF!</definedName>
    <definedName name="Fatal_Crash_Rate_BC" localSheetId="7">'[2]START Assumptions'!#REF!</definedName>
    <definedName name="Fatal_Crash_Rate_BC">'[2]START Assumptions'!#REF!</definedName>
    <definedName name="FatValue">[1]PARAMETERS!$E$61</definedName>
    <definedName name="FuelAuto">[1]PARAMETERS!$E$50</definedName>
    <definedName name="FuelCon">[1]PARAMETERS!$AR$12:$AT$77</definedName>
    <definedName name="FuelTruck">[1]PARAMETERS!$E$51</definedName>
    <definedName name="HCV_Cost_Op" localSheetId="7">'[2]START Assumptions'!#REF!</definedName>
    <definedName name="HCV_Cost_Op">'[2]START Assumptions'!#REF!</definedName>
    <definedName name="HCV_Density_AC" localSheetId="7">'[2]START Assumptions'!#REF!</definedName>
    <definedName name="HCV_Density_AC">'[2]START Assumptions'!#REF!</definedName>
    <definedName name="HCV_Density_BC" localSheetId="7">'[2]START Assumptions'!#REF!</definedName>
    <definedName name="HCV_Density_BC">'[2]START Assumptions'!#REF!</definedName>
    <definedName name="HCV_Occ" localSheetId="7">'[2]START Assumptions'!#REF!</definedName>
    <definedName name="HCV_Occ">'[2]START Assumptions'!#REF!</definedName>
    <definedName name="HCV_Value_of_Time" localSheetId="7">'[2]START Assumptions'!#REF!</definedName>
    <definedName name="HCV_Value_of_Time">'[2]START Assumptions'!#REF!</definedName>
    <definedName name="Hwy">[1]PARAMETERS!$J$12</definedName>
    <definedName name="HwyTransitModelGroup">'[1]2) Model Inputs'!$F$11:$N$12</definedName>
    <definedName name="IM">[1]PARAMETERS!$AA$39</definedName>
    <definedName name="Induced">'[1]3) Results'!$H$29</definedName>
    <definedName name="Injury_Crash_Cost" localSheetId="7">'[2]START Assumptions'!#REF!</definedName>
    <definedName name="Injury_Crash_Cost">'[2]START Assumptions'!#REF!</definedName>
    <definedName name="Injury_Crash_Rate_AC" localSheetId="7">'[2]START Assumptions'!#REF!</definedName>
    <definedName name="Injury_Crash_Rate_AC">'[2]START Assumptions'!#REF!</definedName>
    <definedName name="Injury_Crash_Rate_BC" localSheetId="7">'[2]START Assumptions'!#REF!</definedName>
    <definedName name="Injury_Crash_Rate_BC">'[2]START Assumptions'!#REF!</definedName>
    <definedName name="Length_AC" localSheetId="7">'[2]START Assumptions'!#REF!</definedName>
    <definedName name="Length_AC">'[2]START Assumptions'!#REF!</definedName>
    <definedName name="Length_BC" localSheetId="7">'[2]START Assumptions'!#REF!</definedName>
    <definedName name="Length_BC">'[2]START Assumptions'!#REF!</definedName>
    <definedName name="ModelData1B">'[1]2) Model Inputs'!$F$37:$N$38</definedName>
    <definedName name="ModelData1NB">'[1]2) Model Inputs'!$F$30:$N$31</definedName>
    <definedName name="ModelData20B">'[1]2) Model Inputs'!$V$37:$AD$38</definedName>
    <definedName name="ModelData20NB">'[1]2) Model Inputs'!$V$30:$AD$31</definedName>
    <definedName name="ModelGroup">'[1]2) Model Inputs'!$G$11:$N$12</definedName>
    <definedName name="ModeShare1">'[1]Consumer Surplus'!$G$209:$G$211</definedName>
    <definedName name="ModeShare20">'[1]Consumer Surplus'!$K$209:$K$211</definedName>
    <definedName name="NoInjValue">[1]PARAMETERS!$E$68</definedName>
    <definedName name="NonFuelAuto">[1]PARAMETERS!$E$54</definedName>
    <definedName name="NonFuelTruck">[1]PARAMETERS!$E$55</definedName>
    <definedName name="NoTransit1">'[1]Consumer Surplus'!$H$209:$H$211</definedName>
    <definedName name="NoTransit20">'[1]Consumer Surplus'!$L$209:$L$211</definedName>
    <definedName name="NPV_Costs">'[2]START Costs'!$I$5</definedName>
    <definedName name="NPV_Distance" localSheetId="7">'[2]START Distance Benefit'!#REF!</definedName>
    <definedName name="NPV_Distance">'[2]START Distance Benefit'!#REF!</definedName>
    <definedName name="NPV_maint">'[2]START Costs'!$L$5</definedName>
    <definedName name="NPV_Safety" localSheetId="7">#REF!</definedName>
    <definedName name="NPV_Safety">#REF!</definedName>
    <definedName name="NPV_Time" localSheetId="7">#REF!</definedName>
    <definedName name="NPV_Time">#REF!</definedName>
    <definedName name="PD_Crash_Cost" localSheetId="7">'[2]START Assumptions'!#REF!</definedName>
    <definedName name="PD_Crash_Cost">'[2]START Assumptions'!#REF!</definedName>
    <definedName name="PD_Crash_Rate_AC" localSheetId="7">'[2]START Assumptions'!#REF!</definedName>
    <definedName name="PD_Crash_Rate_AC">'[2]START Assumptions'!#REF!</definedName>
    <definedName name="PD_Crash_Rate_BC" localSheetId="7">'[2]START Assumptions'!#REF!</definedName>
    <definedName name="PD_Crash_Rate_BC">'[2]START Assumptions'!#REF!</definedName>
    <definedName name="PerODPedNB">#REF!</definedName>
    <definedName name="PerRecPedNB">#REF!</definedName>
    <definedName name="ProjLenEX">#REF!</definedName>
    <definedName name="ProjLenNEW">#REF!</definedName>
    <definedName name="ProjLoc">'[1]1) Project Information'!$H$12</definedName>
    <definedName name="ProjType">#REF!</definedName>
    <definedName name="Prop_Dam_Crash_Cost" localSheetId="7">'[2]START Assumptions'!#REF!</definedName>
    <definedName name="Prop_Dam_Crash_Cost">'[2]START Assumptions'!#REF!</definedName>
    <definedName name="RelAdjFactors">'[1]2) Model Inputs'!$CU$11:$DK$12</definedName>
    <definedName name="Reliability">'[1]3) Results'!$H$31</definedName>
    <definedName name="ReliabilityData1B">'[1]2) Model Inputs'!$BP$37:$BT$38</definedName>
    <definedName name="ReliabilityData1NB">'[1]2) Model Inputs'!$BP$30:$BT$31</definedName>
    <definedName name="ReliabilityData20B">'[1]2) Model Inputs'!$CD$37:$CH$38</definedName>
    <definedName name="ReliabilityData20NB">'[1]2) Model Inputs'!$CD$30:$CH$31</definedName>
    <definedName name="ReliabilityGroup">'[1]2) Model Inputs'!$BP$11:$CO$12</definedName>
    <definedName name="ReliabilityModelGroup">'[1]2) Model Inputs'!$BQ$11:$CO$12</definedName>
    <definedName name="SafetyData1B">'[1]2) Model Inputs'!$AM$37:$AS$38</definedName>
    <definedName name="SafetyData1NB">'[1]2) Model Inputs'!$AM$30:$AS$31</definedName>
    <definedName name="SafetyData20B">'[1]2) Model Inputs'!$BA$37:$BG$38</definedName>
    <definedName name="SafetyData20NB">'[1]2) Model Inputs'!$BA$30:$BG$31</definedName>
    <definedName name="SafetyGroup">'[1]2) Model Inputs'!$AL$11:$AS$12</definedName>
    <definedName name="SafetyModelGroup">'[1]2) Model Inputs'!$AM$11:$AS$12</definedName>
    <definedName name="SafetyYearFirst">'[1]2) Model Inputs'!$AL$14</definedName>
    <definedName name="SafetyYearLast">'[1]2) Model Inputs'!$AL$15</definedName>
    <definedName name="Speed_AC" localSheetId="7">'[2]START Assumptions'!#REF!</definedName>
    <definedName name="Speed_AC">'[2]START Assumptions'!#REF!</definedName>
    <definedName name="Speed_BC" localSheetId="7">'[2]START Assumptions'!#REF!</definedName>
    <definedName name="Speed_BC">'[2]START Assumptions'!#REF!</definedName>
    <definedName name="TAvMiCycNBSRTS">#REF!</definedName>
    <definedName name="TTUprater">[1]PARAMETERS!$E$32</definedName>
    <definedName name="Type_A_Crash_Rate_AC" localSheetId="7">'[2]START Assumptions'!#REF!</definedName>
    <definedName name="Type_A_Crash_Rate_AC">'[2]START Assumptions'!#REF!</definedName>
    <definedName name="Type_A_Crash_Rate_BC" localSheetId="7">'[2]START Assumptions'!#REF!</definedName>
    <definedName name="Type_A_Crash_Rate_BC">'[2]START Assumptions'!#REF!</definedName>
    <definedName name="Type_B_Crash_Rate_AC" localSheetId="7">'[2]START Assumptions'!#REF!</definedName>
    <definedName name="Type_B_Crash_Rate_AC">'[2]START Assumptions'!#REF!</definedName>
    <definedName name="Type_B_Crash_Rate_BC" localSheetId="7">'[2]START Assumptions'!#REF!</definedName>
    <definedName name="Type_B_Crash_Rate_BC">'[2]START Assumptions'!#REF!</definedName>
    <definedName name="Type_C_Crash_Rate_AC" localSheetId="7">'[2]START Assumptions'!#REF!</definedName>
    <definedName name="Type_C_Crash_Rate_AC">'[2]START Assumptions'!#REF!</definedName>
    <definedName name="Type_C_Crash_Rate_BC" localSheetId="7">'[2]START Assumptions'!#REF!</definedName>
    <definedName name="Type_C_Crash_Rate_BC">'[2]START Assumptions'!#REF!</definedName>
    <definedName name="Type_Fatal_Crash_Rate_AC" localSheetId="7">'[2]START Assumptions'!#REF!</definedName>
    <definedName name="Type_Fatal_Crash_Rate_AC">'[2]START Assumptions'!#REF!</definedName>
    <definedName name="Type_Fatal_Crash_Rate_BC" localSheetId="7">'[2]START Assumptions'!#REF!</definedName>
    <definedName name="Type_Fatal_Crash_Rate_BC">'[2]START Assumptions'!#REF!</definedName>
    <definedName name="Type_PD_Crash_Rate_AC" localSheetId="7">'[2]START Assumptions'!#REF!</definedName>
    <definedName name="Type_PD_Crash_Rate_AC">'[2]START Assumptions'!#REF!</definedName>
    <definedName name="Type_PD_Crash_Rate_BC" localSheetId="7">'[2]START Assumptions'!#REF!</definedName>
    <definedName name="Type_PD_Crash_Rate_BC">'[2]START Assumptions'!#REF!</definedName>
    <definedName name="ValRelAuto">[1]PARAMETERS!$EK$24</definedName>
    <definedName name="ValRelTruck">[1]PARAMETERS!$EK$25</definedName>
    <definedName name="ValTimeAuto">[1]PARAMETERS!$E$26</definedName>
    <definedName name="ValTimeIMFactor">[1]PARAMETERS!$E$31</definedName>
    <definedName name="ValTimeTruck">[1]PARAMETERS!$E$27</definedName>
    <definedName name="VehOp">'[1]3) Results'!$H$33</definedName>
    <definedName name="YearCurrent">'[1]1) Project Information'!$F$16</definedName>
    <definedName name="YearFirst">'[1]2) Model Inputs'!$F$14</definedName>
    <definedName name="YearLast">'[1]2) Model Inputs'!$F$15</definedName>
    <definedName name="YearOpen">'[1]1) Project Information'!$F$20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3" l="1"/>
  <c r="E6" i="13"/>
  <c r="D6" i="13"/>
  <c r="C77" i="13"/>
  <c r="D64" i="20"/>
  <c r="C119" i="26"/>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62" i="12"/>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F61" i="12"/>
  <c r="D59" i="12"/>
  <c r="D11" i="22" l="1"/>
  <c r="E11" i="22" s="1"/>
  <c r="F11" i="22" s="1"/>
  <c r="E12" i="22"/>
  <c r="F12" i="22" s="1"/>
  <c r="E21" i="1"/>
  <c r="D21" i="1"/>
  <c r="C21" i="1"/>
  <c r="K7" i="1"/>
  <c r="D6" i="27"/>
  <c r="G79" i="27"/>
  <c r="F6" i="27" s="1"/>
  <c r="F79" i="27"/>
  <c r="E6" i="27" s="1"/>
  <c r="D50" i="27"/>
  <c r="G50" i="27" s="1"/>
  <c r="G49" i="27"/>
  <c r="F49" i="27"/>
  <c r="C54" i="27"/>
  <c r="C55" i="27" s="1"/>
  <c r="C56" i="27" s="1"/>
  <c r="C53" i="27"/>
  <c r="C52" i="27"/>
  <c r="C51" i="27"/>
  <c r="C50" i="27"/>
  <c r="B50" i="27"/>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H26" i="27"/>
  <c r="I26" i="27" s="1"/>
  <c r="D49" i="27" s="1"/>
  <c r="E49" i="27" s="1"/>
  <c r="E38" i="27"/>
  <c r="E37" i="27"/>
  <c r="E41" i="27"/>
  <c r="E26" i="27"/>
  <c r="E24" i="27"/>
  <c r="F6" i="26"/>
  <c r="E20" i="1" s="1"/>
  <c r="E6" i="26"/>
  <c r="D20" i="1" s="1"/>
  <c r="D6" i="26"/>
  <c r="C20" i="1" s="1"/>
  <c r="F6" i="15"/>
  <c r="E19" i="1" s="1"/>
  <c r="E6" i="15"/>
  <c r="D19" i="1" s="1"/>
  <c r="D6" i="15"/>
  <c r="C19" i="1" s="1"/>
  <c r="F6" i="12"/>
  <c r="E18" i="1" s="1"/>
  <c r="E6" i="12"/>
  <c r="D18" i="1" s="1"/>
  <c r="D6" i="12"/>
  <c r="C18" i="1" s="1"/>
  <c r="F6" i="20"/>
  <c r="E23" i="1" s="1"/>
  <c r="E6" i="20"/>
  <c r="D23" i="1" s="1"/>
  <c r="D6" i="20"/>
  <c r="C23" i="1" s="1"/>
  <c r="D24" i="1"/>
  <c r="C24" i="1"/>
  <c r="D25" i="1" l="1"/>
  <c r="K6" i="1"/>
  <c r="D51" i="27"/>
  <c r="E50" i="27"/>
  <c r="F50" i="27"/>
  <c r="C57" i="27"/>
  <c r="E51" i="27" l="1"/>
  <c r="G51" i="27"/>
  <c r="F51" i="27"/>
  <c r="D52" i="27"/>
  <c r="C58" i="27"/>
  <c r="F52" i="27" l="1"/>
  <c r="G52" i="27"/>
  <c r="D53" i="27"/>
  <c r="E52" i="27"/>
  <c r="C59" i="27"/>
  <c r="E53" i="27" l="1"/>
  <c r="D54" i="27"/>
  <c r="G53" i="27"/>
  <c r="F53" i="27"/>
  <c r="C60" i="27"/>
  <c r="G54" i="27" l="1"/>
  <c r="F54" i="27"/>
  <c r="D55" i="27"/>
  <c r="E54" i="27"/>
  <c r="C61" i="27"/>
  <c r="G55" i="27" l="1"/>
  <c r="F55" i="27"/>
  <c r="E55" i="27"/>
  <c r="D56" i="27"/>
  <c r="C62" i="27"/>
  <c r="F56" i="27" l="1"/>
  <c r="E56" i="27"/>
  <c r="D57" i="27"/>
  <c r="G56" i="27"/>
  <c r="C63" i="27"/>
  <c r="D58" i="27" l="1"/>
  <c r="G57" i="27"/>
  <c r="E57" i="27"/>
  <c r="F57" i="27"/>
  <c r="C64" i="27"/>
  <c r="D59" i="27" l="1"/>
  <c r="F58" i="27"/>
  <c r="G58" i="27"/>
  <c r="E58" i="27"/>
  <c r="C65" i="27"/>
  <c r="D60" i="27" l="1"/>
  <c r="G59" i="27"/>
  <c r="F59" i="27"/>
  <c r="E59" i="27"/>
  <c r="C66" i="27"/>
  <c r="D61" i="27" l="1"/>
  <c r="G60" i="27"/>
  <c r="F60" i="27"/>
  <c r="E60" i="27"/>
  <c r="C67" i="27"/>
  <c r="D62" i="27" l="1"/>
  <c r="G61" i="27"/>
  <c r="F61" i="27"/>
  <c r="E61" i="27"/>
  <c r="C68" i="27"/>
  <c r="D63" i="27" l="1"/>
  <c r="E62" i="27"/>
  <c r="G62" i="27"/>
  <c r="F62" i="27"/>
  <c r="C69" i="27"/>
  <c r="G63" i="27" l="1"/>
  <c r="D64" i="27"/>
  <c r="F63" i="27"/>
  <c r="E63" i="27"/>
  <c r="C70" i="27"/>
  <c r="G64" i="27" l="1"/>
  <c r="F64" i="27"/>
  <c r="E64" i="27"/>
  <c r="D65" i="27"/>
  <c r="C71" i="27"/>
  <c r="D66" i="27" l="1"/>
  <c r="G65" i="27"/>
  <c r="F65" i="27"/>
  <c r="E65" i="27"/>
  <c r="C72" i="27"/>
  <c r="D67" i="27" l="1"/>
  <c r="G66" i="27"/>
  <c r="F66" i="27"/>
  <c r="E66" i="27"/>
  <c r="C73" i="27"/>
  <c r="E67" i="27" l="1"/>
  <c r="G67" i="27"/>
  <c r="F67" i="27"/>
  <c r="D68" i="27"/>
  <c r="C74" i="27"/>
  <c r="G68" i="27" l="1"/>
  <c r="D69" i="27"/>
  <c r="F68" i="27"/>
  <c r="E68" i="27"/>
  <c r="C75" i="27"/>
  <c r="D70" i="27" l="1"/>
  <c r="G69" i="27"/>
  <c r="F69" i="27"/>
  <c r="E69" i="27"/>
  <c r="C76" i="27"/>
  <c r="G70" i="27" l="1"/>
  <c r="F70" i="27"/>
  <c r="D71" i="27"/>
  <c r="E70" i="27"/>
  <c r="C77" i="27"/>
  <c r="G71" i="27" l="1"/>
  <c r="F71" i="27"/>
  <c r="E71" i="27"/>
  <c r="D72" i="27"/>
  <c r="C78" i="27"/>
  <c r="F72" i="27" l="1"/>
  <c r="E72" i="27"/>
  <c r="D73" i="27"/>
  <c r="G72" i="27"/>
  <c r="E73" i="27" l="1"/>
  <c r="G73" i="27"/>
  <c r="D74" i="27"/>
  <c r="F73" i="27"/>
  <c r="E74" i="27" l="1"/>
  <c r="D75" i="27"/>
  <c r="F74" i="27"/>
  <c r="G74" i="27"/>
  <c r="D76" i="27" l="1"/>
  <c r="G75" i="27"/>
  <c r="F75" i="27"/>
  <c r="E75" i="27"/>
  <c r="D77" i="27" l="1"/>
  <c r="G76" i="27"/>
  <c r="F76" i="27"/>
  <c r="E76" i="27"/>
  <c r="D78" i="27" l="1"/>
  <c r="G77" i="27"/>
  <c r="F77" i="27"/>
  <c r="E77" i="27"/>
  <c r="E78" i="27" l="1"/>
  <c r="E79" i="27" s="1"/>
  <c r="F78" i="27"/>
  <c r="G78" i="27"/>
  <c r="C25" i="1" l="1"/>
  <c r="E24" i="1"/>
  <c r="F20" i="18"/>
  <c r="F21" i="18" s="1"/>
  <c r="E28" i="18"/>
  <c r="F28" i="18" s="1"/>
  <c r="D27" i="18"/>
  <c r="E27" i="18" s="1"/>
  <c r="K17" i="18"/>
  <c r="M17" i="18" s="1"/>
  <c r="K16" i="18"/>
  <c r="M16" i="18" s="1"/>
  <c r="K15" i="18"/>
  <c r="M15" i="18" s="1"/>
  <c r="K14" i="18"/>
  <c r="M14" i="18" s="1"/>
  <c r="K13" i="18"/>
  <c r="M13" i="18" s="1"/>
  <c r="K12" i="18"/>
  <c r="M12" i="18" s="1"/>
  <c r="K11" i="18"/>
  <c r="M11" i="18" s="1"/>
  <c r="K10" i="18"/>
  <c r="M10" i="18" s="1"/>
  <c r="K9" i="18"/>
  <c r="M9" i="18" s="1"/>
  <c r="K8" i="18"/>
  <c r="M8" i="18" s="1"/>
  <c r="K7" i="18"/>
  <c r="M7" i="18" s="1"/>
  <c r="N7" i="18" s="1"/>
  <c r="J17" i="18"/>
  <c r="L17" i="18" s="1"/>
  <c r="J16" i="18"/>
  <c r="L16" i="18" s="1"/>
  <c r="J15" i="18"/>
  <c r="L15" i="18" s="1"/>
  <c r="J14" i="18"/>
  <c r="L14" i="18" s="1"/>
  <c r="J13" i="18"/>
  <c r="L13" i="18" s="1"/>
  <c r="J12" i="18"/>
  <c r="L12" i="18" s="1"/>
  <c r="J11" i="18"/>
  <c r="L11" i="18" s="1"/>
  <c r="J10" i="18"/>
  <c r="L10" i="18" s="1"/>
  <c r="J9" i="18"/>
  <c r="L9" i="18" s="1"/>
  <c r="J8" i="18"/>
  <c r="L8" i="18" s="1"/>
  <c r="J7" i="18"/>
  <c r="L7" i="18" s="1"/>
  <c r="B13" i="13" l="1"/>
  <c r="F22" i="18"/>
  <c r="E25" i="1"/>
  <c r="M18" i="18"/>
  <c r="M19" i="18" s="1"/>
  <c r="L18" i="18"/>
  <c r="L19" i="18" s="1"/>
  <c r="F27" i="18"/>
  <c r="F18" i="18"/>
  <c r="G18" i="18"/>
  <c r="H18" i="18"/>
  <c r="N16" i="18"/>
  <c r="N15" i="18"/>
  <c r="N8" i="18"/>
  <c r="N10" i="18"/>
  <c r="N12" i="18"/>
  <c r="N9" i="18"/>
  <c r="N11" i="18"/>
  <c r="N13" i="18"/>
  <c r="N14" i="18"/>
  <c r="N17" i="18"/>
  <c r="I17" i="18"/>
  <c r="I16" i="18"/>
  <c r="I15" i="18"/>
  <c r="I14" i="18"/>
  <c r="I13" i="18"/>
  <c r="I12" i="18"/>
  <c r="I11" i="18"/>
  <c r="I10" i="18"/>
  <c r="I9" i="18"/>
  <c r="I8" i="18"/>
  <c r="I7" i="18"/>
  <c r="AA58" i="7"/>
  <c r="AA57" i="7"/>
  <c r="AA56" i="7"/>
  <c r="AA52" i="7"/>
  <c r="AA51" i="7"/>
  <c r="AA50" i="7"/>
  <c r="AA45" i="7"/>
  <c r="J45" i="9"/>
  <c r="I52" i="17"/>
  <c r="H52" i="17"/>
  <c r="G52" i="17"/>
  <c r="F52" i="17"/>
  <c r="E52" i="17"/>
  <c r="D52" i="17"/>
  <c r="C52" i="17"/>
  <c r="L44" i="9"/>
  <c r="N44" i="9" s="1"/>
  <c r="O44" i="9" s="1"/>
  <c r="P44" i="9" s="1"/>
  <c r="E52" i="9" s="1"/>
  <c r="E53" i="9" s="1"/>
  <c r="AA59" i="7" l="1"/>
  <c r="G19" i="18"/>
  <c r="B14" i="13"/>
  <c r="H19" i="18"/>
  <c r="B15" i="13"/>
  <c r="F19" i="18"/>
  <c r="B12" i="13"/>
  <c r="C12" i="13"/>
  <c r="AA53" i="7"/>
  <c r="H18" i="25"/>
  <c r="I51" i="17"/>
  <c r="H51" i="17"/>
  <c r="G51" i="17"/>
  <c r="F51" i="17"/>
  <c r="E51" i="17"/>
  <c r="D51" i="17"/>
  <c r="C51" i="17"/>
  <c r="G12" i="13" l="1"/>
  <c r="I12" i="13"/>
  <c r="H12" i="13"/>
  <c r="AE10" i="9"/>
  <c r="F5" i="9" l="1"/>
  <c r="E5" i="9"/>
  <c r="D5" i="9"/>
  <c r="Z5" i="9"/>
  <c r="Y5" i="9"/>
  <c r="X5" i="9"/>
  <c r="W5" i="9"/>
  <c r="V5" i="9"/>
  <c r="U5" i="9"/>
  <c r="T5" i="9"/>
  <c r="S5" i="9"/>
  <c r="R5" i="9"/>
  <c r="Q5" i="9"/>
  <c r="P5" i="9"/>
  <c r="O5" i="9"/>
  <c r="N5" i="9"/>
  <c r="M5" i="9"/>
  <c r="L5" i="9"/>
  <c r="K5" i="9"/>
  <c r="J5" i="9"/>
  <c r="H5" i="9"/>
  <c r="G5" i="9"/>
  <c r="C11" i="9"/>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F53" i="9" l="1"/>
  <c r="G53" i="9" s="1"/>
  <c r="F52" i="9"/>
  <c r="G52" i="9" s="1"/>
  <c r="L10" i="9" s="1"/>
  <c r="I50" i="17"/>
  <c r="H50" i="17"/>
  <c r="G50" i="17"/>
  <c r="F50" i="17"/>
  <c r="E50" i="17"/>
  <c r="D50" i="17"/>
  <c r="C50" i="17"/>
  <c r="L11" i="9" l="1"/>
  <c r="L12" i="9" s="1"/>
  <c r="L13" i="9" s="1"/>
  <c r="L14" i="9" s="1"/>
  <c r="G54" i="9"/>
  <c r="L15" i="9" s="1"/>
  <c r="L16" i="9" s="1"/>
  <c r="L17" i="9" s="1"/>
  <c r="L18" i="9" s="1"/>
  <c r="L19" i="9" s="1"/>
  <c r="L20" i="9" s="1"/>
  <c r="L21" i="9" s="1"/>
  <c r="L22" i="9" s="1"/>
  <c r="L23" i="9" s="1"/>
  <c r="G5" i="7"/>
  <c r="AB38" i="7"/>
  <c r="AB37" i="7"/>
  <c r="AB36" i="7"/>
  <c r="AB35" i="7"/>
  <c r="AB33" i="7"/>
  <c r="AB32" i="7"/>
  <c r="AB30" i="7"/>
  <c r="AB28" i="7"/>
  <c r="AB27" i="7"/>
  <c r="AB26" i="7"/>
  <c r="AB25" i="7"/>
  <c r="AB23" i="7"/>
  <c r="AB22" i="7"/>
  <c r="AB21" i="7"/>
  <c r="AB20" i="7"/>
  <c r="AB18" i="7"/>
  <c r="AB17" i="7"/>
  <c r="AB16" i="7"/>
  <c r="AB15" i="7"/>
  <c r="AB13" i="7"/>
  <c r="AB12" i="7"/>
  <c r="AB11" i="7"/>
  <c r="G41" i="7"/>
  <c r="G40" i="7"/>
  <c r="Z41" i="7"/>
  <c r="Z40" i="7"/>
  <c r="D46" i="7"/>
  <c r="Y58" i="7"/>
  <c r="X58" i="7"/>
  <c r="W58" i="7"/>
  <c r="V58" i="7"/>
  <c r="U58" i="7"/>
  <c r="T58" i="7"/>
  <c r="S58" i="7"/>
  <c r="R58" i="7"/>
  <c r="Q58" i="7"/>
  <c r="P58" i="7"/>
  <c r="O58" i="7"/>
  <c r="N58" i="7"/>
  <c r="M58" i="7"/>
  <c r="L58" i="7"/>
  <c r="K58" i="7"/>
  <c r="Y56" i="7"/>
  <c r="X56" i="7"/>
  <c r="W56" i="7"/>
  <c r="V56" i="7"/>
  <c r="U56" i="7"/>
  <c r="T56" i="7"/>
  <c r="S56" i="7"/>
  <c r="R56" i="7"/>
  <c r="Q56" i="7"/>
  <c r="P56" i="7"/>
  <c r="O56" i="7"/>
  <c r="N56" i="7"/>
  <c r="M56" i="7"/>
  <c r="L56" i="7"/>
  <c r="K56" i="7"/>
  <c r="Y52" i="7"/>
  <c r="X52" i="7"/>
  <c r="W52" i="7"/>
  <c r="V52" i="7"/>
  <c r="U52" i="7"/>
  <c r="T52" i="7"/>
  <c r="S52" i="7"/>
  <c r="R52" i="7"/>
  <c r="Q52" i="7"/>
  <c r="P52" i="7"/>
  <c r="O52" i="7"/>
  <c r="N52" i="7"/>
  <c r="M52" i="7"/>
  <c r="L52" i="7"/>
  <c r="K52" i="7"/>
  <c r="Y50" i="7"/>
  <c r="X50" i="7"/>
  <c r="W50" i="7"/>
  <c r="V50" i="7"/>
  <c r="U50" i="7"/>
  <c r="T50" i="7"/>
  <c r="S50" i="7"/>
  <c r="R50" i="7"/>
  <c r="Q50" i="7"/>
  <c r="P50" i="7"/>
  <c r="O50" i="7"/>
  <c r="N50" i="7"/>
  <c r="M50" i="7"/>
  <c r="L50" i="7"/>
  <c r="K50" i="7"/>
  <c r="Z5" i="7"/>
  <c r="Y5" i="7"/>
  <c r="Y57" i="7" s="1"/>
  <c r="X5" i="7"/>
  <c r="X45" i="7" s="1"/>
  <c r="W5" i="7"/>
  <c r="W45" i="7" s="1"/>
  <c r="V5" i="7"/>
  <c r="V45" i="7" s="1"/>
  <c r="U5" i="7"/>
  <c r="U45" i="7" s="1"/>
  <c r="T5" i="7"/>
  <c r="T45" i="7" s="1"/>
  <c r="S5" i="7"/>
  <c r="S45" i="7" s="1"/>
  <c r="R5" i="7"/>
  <c r="R45" i="7" s="1"/>
  <c r="Q5" i="7"/>
  <c r="Q45" i="7" s="1"/>
  <c r="P5" i="7"/>
  <c r="P45" i="7" s="1"/>
  <c r="O5" i="7"/>
  <c r="O45" i="7" s="1"/>
  <c r="N5" i="7"/>
  <c r="N45" i="7" s="1"/>
  <c r="M5" i="7"/>
  <c r="M45" i="7" s="1"/>
  <c r="L5" i="7"/>
  <c r="L45" i="7" s="1"/>
  <c r="K5" i="7"/>
  <c r="K51" i="7" s="1"/>
  <c r="J5" i="7"/>
  <c r="H5" i="7"/>
  <c r="L25" i="9" l="1"/>
  <c r="L26" i="9" s="1"/>
  <c r="L27" i="9" s="1"/>
  <c r="L28" i="9" s="1"/>
  <c r="L29" i="9" s="1"/>
  <c r="L30" i="9" s="1"/>
  <c r="L31" i="9" s="1"/>
  <c r="L32" i="9" s="1"/>
  <c r="L33" i="9" s="1"/>
  <c r="L34" i="9" s="1"/>
  <c r="L35" i="9" s="1"/>
  <c r="L36" i="9" s="1"/>
  <c r="L37" i="9" s="1"/>
  <c r="L38" i="9" s="1"/>
  <c r="L39" i="9" s="1"/>
  <c r="K57" i="7"/>
  <c r="K59" i="7" s="1"/>
  <c r="X51" i="7"/>
  <c r="X53" i="7" s="1"/>
  <c r="X40" i="7" s="1"/>
  <c r="L57" i="7"/>
  <c r="L59" i="7" s="1"/>
  <c r="X57" i="7"/>
  <c r="X59" i="7" s="1"/>
  <c r="X41" i="7" s="1"/>
  <c r="L51" i="7"/>
  <c r="L53" i="7" s="1"/>
  <c r="W51" i="7"/>
  <c r="W53" i="7" s="1"/>
  <c r="W40" i="7" s="1"/>
  <c r="T57" i="7"/>
  <c r="T59" i="7" s="1"/>
  <c r="U57" i="7"/>
  <c r="U59" i="7" s="1"/>
  <c r="V57" i="7"/>
  <c r="V59" i="7" s="1"/>
  <c r="W57" i="7"/>
  <c r="W59" i="7" s="1"/>
  <c r="W41" i="7" s="1"/>
  <c r="S57" i="7"/>
  <c r="S59" i="7" s="1"/>
  <c r="K45" i="7"/>
  <c r="S51" i="7"/>
  <c r="S53" i="7" s="1"/>
  <c r="T51" i="7"/>
  <c r="T53" i="7" s="1"/>
  <c r="U51" i="7"/>
  <c r="U53" i="7" s="1"/>
  <c r="V51" i="7"/>
  <c r="V53" i="7" s="1"/>
  <c r="Y45" i="7"/>
  <c r="M51" i="7"/>
  <c r="M53" i="7" s="1"/>
  <c r="M57" i="7"/>
  <c r="M59" i="7" s="1"/>
  <c r="N51" i="7"/>
  <c r="N53" i="7" s="1"/>
  <c r="N57" i="7"/>
  <c r="N59" i="7" s="1"/>
  <c r="O51" i="7"/>
  <c r="O53" i="7" s="1"/>
  <c r="O57" i="7"/>
  <c r="O59" i="7" s="1"/>
  <c r="P51" i="7"/>
  <c r="P53" i="7" s="1"/>
  <c r="P57" i="7"/>
  <c r="P59" i="7" s="1"/>
  <c r="Q51" i="7"/>
  <c r="Q53" i="7" s="1"/>
  <c r="Q57" i="7"/>
  <c r="Q59" i="7" s="1"/>
  <c r="R51" i="7"/>
  <c r="R53" i="7" s="1"/>
  <c r="R57" i="7"/>
  <c r="R59" i="7" s="1"/>
  <c r="Y51" i="7"/>
  <c r="Y53" i="7" s="1"/>
  <c r="Y59" i="7"/>
  <c r="K53" i="7"/>
  <c r="L40" i="9" l="1"/>
  <c r="D22" i="25"/>
  <c r="D17" i="25"/>
  <c r="D9" i="25"/>
  <c r="D8" i="25"/>
  <c r="D31" i="22"/>
  <c r="E33" i="22" s="1"/>
  <c r="E30" i="22"/>
  <c r="D28" i="22"/>
  <c r="E29" i="22" s="1"/>
  <c r="C11" i="7"/>
  <c r="C12" i="7" s="1"/>
  <c r="C13" i="7" s="1"/>
  <c r="C14" i="7" s="1"/>
  <c r="C15" i="7" s="1"/>
  <c r="C16" i="7" s="1"/>
  <c r="C17" i="7" s="1"/>
  <c r="C18" i="7" s="1"/>
  <c r="C19" i="7" s="1"/>
  <c r="C20" i="7" s="1"/>
  <c r="C21" i="7" s="1"/>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D50" i="7"/>
  <c r="D51" i="7"/>
  <c r="D52" i="7"/>
  <c r="AB10" i="7"/>
  <c r="AC10" i="7" s="1"/>
  <c r="D56" i="7"/>
  <c r="D57" i="7"/>
  <c r="D58" i="7"/>
  <c r="N12" i="17"/>
  <c r="N13" i="17"/>
  <c r="N14" i="17"/>
  <c r="N15" i="17"/>
  <c r="I26" i="17" s="1"/>
  <c r="N16" i="17"/>
  <c r="N17" i="17"/>
  <c r="N18" i="17"/>
  <c r="N19" i="17"/>
  <c r="F26" i="17" s="1"/>
  <c r="N20" i="17"/>
  <c r="I25" i="17" s="1"/>
  <c r="I27" i="17" s="1"/>
  <c r="N21" i="17"/>
  <c r="D26" i="17" s="1"/>
  <c r="N22" i="17"/>
  <c r="D45" i="7"/>
  <c r="D25" i="17" l="1"/>
  <c r="D27" i="17" s="1"/>
  <c r="F25" i="17"/>
  <c r="F27" i="17" s="1"/>
  <c r="E28" i="22"/>
  <c r="E31" i="22"/>
  <c r="E32" i="22"/>
  <c r="D30" i="25"/>
  <c r="D33" i="25" s="1"/>
  <c r="AD10" i="7"/>
  <c r="D59" i="7"/>
  <c r="D53" i="7"/>
  <c r="AC21" i="7"/>
  <c r="AD21" i="7"/>
  <c r="C22" i="7"/>
  <c r="D10" i="25"/>
  <c r="AB39" i="7"/>
  <c r="E18" i="25" l="1"/>
  <c r="P9" i="7" s="1"/>
  <c r="P29" i="7" s="1"/>
  <c r="P41" i="7" s="1"/>
  <c r="H28" i="25"/>
  <c r="X10" i="9" s="1"/>
  <c r="X11" i="9" s="1"/>
  <c r="X12" i="9" s="1"/>
  <c r="X13" i="9" s="1"/>
  <c r="X14" i="9" s="1"/>
  <c r="X15" i="9" s="1"/>
  <c r="X16" i="9" s="1"/>
  <c r="X17" i="9" s="1"/>
  <c r="X18" i="9" s="1"/>
  <c r="X19" i="9" s="1"/>
  <c r="X20" i="9" s="1"/>
  <c r="X21" i="9" s="1"/>
  <c r="X22" i="9" s="1"/>
  <c r="X23" i="9" s="1"/>
  <c r="X24" i="9" s="1"/>
  <c r="X25" i="9" s="1"/>
  <c r="X26" i="9" s="1"/>
  <c r="X27" i="9" s="1"/>
  <c r="X28" i="9" s="1"/>
  <c r="X29" i="9" s="1"/>
  <c r="X30" i="9" s="1"/>
  <c r="X31" i="9" s="1"/>
  <c r="X32" i="9" s="1"/>
  <c r="X33" i="9" s="1"/>
  <c r="X34" i="9" s="1"/>
  <c r="X35" i="9" s="1"/>
  <c r="X36" i="9" s="1"/>
  <c r="X37" i="9" s="1"/>
  <c r="X38" i="9" s="1"/>
  <c r="X39" i="9" s="1"/>
  <c r="H29" i="25"/>
  <c r="Y10" i="9" s="1"/>
  <c r="Y11" i="9" s="1"/>
  <c r="Y12" i="9" s="1"/>
  <c r="Y13" i="9" s="1"/>
  <c r="Y14" i="9" s="1"/>
  <c r="Y15" i="9" s="1"/>
  <c r="Y16" i="9" s="1"/>
  <c r="Y17" i="9" s="1"/>
  <c r="Y18" i="9" s="1"/>
  <c r="Y19" i="9" s="1"/>
  <c r="Y20" i="9" s="1"/>
  <c r="Y21" i="9" s="1"/>
  <c r="Y22" i="9" s="1"/>
  <c r="Y23" i="9" s="1"/>
  <c r="Y24" i="9" s="1"/>
  <c r="Y25" i="9" s="1"/>
  <c r="Y26" i="9" s="1"/>
  <c r="Y27" i="9" s="1"/>
  <c r="Y28" i="9" s="1"/>
  <c r="Y29" i="9" s="1"/>
  <c r="Y30" i="9" s="1"/>
  <c r="Y31" i="9" s="1"/>
  <c r="Y32" i="9" s="1"/>
  <c r="Y33" i="9" s="1"/>
  <c r="Y34" i="9" s="1"/>
  <c r="Y35" i="9" s="1"/>
  <c r="Y36" i="9" s="1"/>
  <c r="Y37" i="9" s="1"/>
  <c r="Y38" i="9" s="1"/>
  <c r="Y39" i="9" s="1"/>
  <c r="H4" i="25"/>
  <c r="H26" i="25"/>
  <c r="V10" i="9" s="1"/>
  <c r="V11" i="9" s="1"/>
  <c r="V12" i="9" s="1"/>
  <c r="V13" i="9" s="1"/>
  <c r="V14" i="9" s="1"/>
  <c r="V15" i="9" s="1"/>
  <c r="V16" i="9" s="1"/>
  <c r="V17" i="9" s="1"/>
  <c r="V18" i="9" s="1"/>
  <c r="V19" i="9" s="1"/>
  <c r="V20" i="9" s="1"/>
  <c r="V21" i="9" s="1"/>
  <c r="V22" i="9" s="1"/>
  <c r="V23" i="9" s="1"/>
  <c r="V24" i="9" s="1"/>
  <c r="V25" i="9" s="1"/>
  <c r="V26" i="9" s="1"/>
  <c r="V27" i="9" s="1"/>
  <c r="V28" i="9" s="1"/>
  <c r="V29" i="9" s="1"/>
  <c r="V30" i="9" s="1"/>
  <c r="V31" i="9" s="1"/>
  <c r="V32" i="9" s="1"/>
  <c r="V33" i="9" s="1"/>
  <c r="V34" i="9" s="1"/>
  <c r="V35" i="9" s="1"/>
  <c r="V36" i="9" s="1"/>
  <c r="V37" i="9" s="1"/>
  <c r="V38" i="9" s="1"/>
  <c r="V39" i="9" s="1"/>
  <c r="H22" i="25"/>
  <c r="S10" i="9" s="1"/>
  <c r="S11" i="9" s="1"/>
  <c r="S12" i="9" s="1"/>
  <c r="S13" i="9" s="1"/>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H20" i="25"/>
  <c r="Q10" i="9" s="1"/>
  <c r="AA50" i="9"/>
  <c r="AA49" i="9"/>
  <c r="E15" i="25"/>
  <c r="M9" i="7" s="1"/>
  <c r="M40" i="7" s="1"/>
  <c r="E16" i="25"/>
  <c r="N9" i="7" s="1"/>
  <c r="N19" i="7" s="1"/>
  <c r="P40" i="7"/>
  <c r="N24" i="7"/>
  <c r="AB24" i="7" s="1"/>
  <c r="E23" i="25"/>
  <c r="T9" i="7" s="1"/>
  <c r="T29" i="7" s="1"/>
  <c r="T40" i="7" s="1"/>
  <c r="E25" i="25"/>
  <c r="U9" i="7" s="1"/>
  <c r="U40" i="7" s="1"/>
  <c r="E33" i="25"/>
  <c r="E26" i="25"/>
  <c r="V9" i="7" s="1"/>
  <c r="V40" i="7" s="1"/>
  <c r="H27" i="25"/>
  <c r="W10" i="9" s="1"/>
  <c r="W11" i="9" s="1"/>
  <c r="W12" i="9" s="1"/>
  <c r="W13" i="9" s="1"/>
  <c r="W14" i="9" s="1"/>
  <c r="W15" i="9" s="1"/>
  <c r="W16" i="9" s="1"/>
  <c r="W17" i="9" s="1"/>
  <c r="W18" i="9" s="1"/>
  <c r="W19" i="9" s="1"/>
  <c r="W20" i="9" s="1"/>
  <c r="W21" i="9" s="1"/>
  <c r="W22" i="9" s="1"/>
  <c r="W23" i="9" s="1"/>
  <c r="W24" i="9" s="1"/>
  <c r="W25" i="9" s="1"/>
  <c r="W26" i="9" s="1"/>
  <c r="W27" i="9" s="1"/>
  <c r="W28" i="9" s="1"/>
  <c r="W29" i="9" s="1"/>
  <c r="W30" i="9" s="1"/>
  <c r="W31" i="9" s="1"/>
  <c r="W32" i="9" s="1"/>
  <c r="W33" i="9" s="1"/>
  <c r="W34" i="9" s="1"/>
  <c r="W35" i="9" s="1"/>
  <c r="W36" i="9" s="1"/>
  <c r="W37" i="9" s="1"/>
  <c r="W38" i="9" s="1"/>
  <c r="W39" i="9" s="1"/>
  <c r="H15" i="25"/>
  <c r="M10" i="9" s="1"/>
  <c r="M11" i="9" s="1"/>
  <c r="M12" i="9" s="1"/>
  <c r="M13" i="9" s="1"/>
  <c r="M14" i="9" s="1"/>
  <c r="M15" i="9" s="1"/>
  <c r="M16" i="9" s="1"/>
  <c r="M17" i="9" s="1"/>
  <c r="M18" i="9" s="1"/>
  <c r="M19" i="9" s="1"/>
  <c r="M20" i="9" s="1"/>
  <c r="M21" i="9" s="1"/>
  <c r="M22" i="9" s="1"/>
  <c r="M23" i="9" s="1"/>
  <c r="M24" i="9" s="1"/>
  <c r="M25" i="9" s="1"/>
  <c r="M26" i="9" s="1"/>
  <c r="M27" i="9" s="1"/>
  <c r="M28" i="9" s="1"/>
  <c r="M29" i="9" s="1"/>
  <c r="M30" i="9" s="1"/>
  <c r="M31" i="9" s="1"/>
  <c r="M32" i="9" s="1"/>
  <c r="M33" i="9" s="1"/>
  <c r="M34" i="9" s="1"/>
  <c r="M35" i="9" s="1"/>
  <c r="M36" i="9" s="1"/>
  <c r="M37" i="9" s="1"/>
  <c r="M38" i="9" s="1"/>
  <c r="M39" i="9" s="1"/>
  <c r="E9" i="25"/>
  <c r="H8" i="7" s="1"/>
  <c r="H9" i="7" s="1"/>
  <c r="H40" i="7" s="1"/>
  <c r="P10" i="9"/>
  <c r="P11" i="9" s="1"/>
  <c r="E8" i="25"/>
  <c r="G7" i="7" s="1"/>
  <c r="AB7" i="7" s="1"/>
  <c r="AD7" i="7" s="1"/>
  <c r="E22" i="25"/>
  <c r="H8" i="25"/>
  <c r="E17" i="25"/>
  <c r="O9" i="7" s="1"/>
  <c r="O29" i="7" s="1"/>
  <c r="O41" i="7" s="1"/>
  <c r="E28" i="25"/>
  <c r="X9" i="7" s="1"/>
  <c r="E29" i="25"/>
  <c r="Y9" i="7" s="1"/>
  <c r="Y29" i="7" s="1"/>
  <c r="H6" i="25"/>
  <c r="E12" i="25"/>
  <c r="J9" i="7" s="1"/>
  <c r="E4" i="25"/>
  <c r="H13" i="25"/>
  <c r="E27" i="25"/>
  <c r="W9" i="7" s="1"/>
  <c r="E13" i="25"/>
  <c r="K9" i="7" s="1"/>
  <c r="E5" i="25"/>
  <c r="E14" i="25"/>
  <c r="L9" i="7" s="1"/>
  <c r="E6" i="25"/>
  <c r="H19" i="25"/>
  <c r="H25" i="25"/>
  <c r="U10" i="9" s="1"/>
  <c r="U11" i="9" s="1"/>
  <c r="U12" i="9" s="1"/>
  <c r="U13" i="9" s="1"/>
  <c r="U14" i="9" s="1"/>
  <c r="U15" i="9" s="1"/>
  <c r="U16" i="9" s="1"/>
  <c r="U17" i="9" s="1"/>
  <c r="U18" i="9" s="1"/>
  <c r="U19" i="9" s="1"/>
  <c r="U20" i="9" s="1"/>
  <c r="U21" i="9" s="1"/>
  <c r="U22" i="9" s="1"/>
  <c r="U23" i="9" s="1"/>
  <c r="U24" i="9" s="1"/>
  <c r="U25" i="9" s="1"/>
  <c r="U26" i="9" s="1"/>
  <c r="U27" i="9" s="1"/>
  <c r="U28" i="9" s="1"/>
  <c r="U29" i="9" s="1"/>
  <c r="U30" i="9" s="1"/>
  <c r="U31" i="9" s="1"/>
  <c r="U32" i="9" s="1"/>
  <c r="U33" i="9" s="1"/>
  <c r="U34" i="9" s="1"/>
  <c r="U35" i="9" s="1"/>
  <c r="U36" i="9" s="1"/>
  <c r="U37" i="9" s="1"/>
  <c r="U38" i="9" s="1"/>
  <c r="U39" i="9" s="1"/>
  <c r="E32" i="25"/>
  <c r="E20" i="25"/>
  <c r="Q9" i="7" s="1"/>
  <c r="H9" i="25"/>
  <c r="H5" i="25"/>
  <c r="E21" i="25"/>
  <c r="R9" i="7" s="1"/>
  <c r="H32" i="25"/>
  <c r="AD22" i="7"/>
  <c r="AC22" i="7"/>
  <c r="C23" i="7"/>
  <c r="E30" i="25"/>
  <c r="D35" i="25"/>
  <c r="E35" i="25" s="1"/>
  <c r="E10" i="25"/>
  <c r="L29" i="7" l="1"/>
  <c r="L40" i="7" s="1"/>
  <c r="H53" i="9"/>
  <c r="L24" i="9" s="1"/>
  <c r="N29" i="7"/>
  <c r="V41" i="7"/>
  <c r="AB10" i="9"/>
  <c r="Q11" i="9"/>
  <c r="Q12" i="9" s="1"/>
  <c r="Q13" i="9" s="1"/>
  <c r="Q14" i="9" s="1"/>
  <c r="Q15" i="9" s="1"/>
  <c r="Q16" i="9" s="1"/>
  <c r="Q17" i="9" s="1"/>
  <c r="Q18" i="9" s="1"/>
  <c r="Q19" i="9" s="1"/>
  <c r="Q20" i="9" s="1"/>
  <c r="Q21" i="9" s="1"/>
  <c r="Q22" i="9" s="1"/>
  <c r="Q23" i="9" s="1"/>
  <c r="Q24" i="9" s="1"/>
  <c r="Q25" i="9" s="1"/>
  <c r="Q26" i="9" s="1"/>
  <c r="Q27" i="9" s="1"/>
  <c r="Q28" i="9" s="1"/>
  <c r="Q29" i="9" s="1"/>
  <c r="Q30" i="9" s="1"/>
  <c r="Q31" i="9" s="1"/>
  <c r="Q32" i="9" s="1"/>
  <c r="Q33" i="9" s="1"/>
  <c r="Q34" i="9" s="1"/>
  <c r="Q35" i="9" s="1"/>
  <c r="Q36" i="9" s="1"/>
  <c r="Q37" i="9" s="1"/>
  <c r="Q38" i="9" s="1"/>
  <c r="Q39" i="9" s="1"/>
  <c r="P12" i="9"/>
  <c r="AB11" i="9"/>
  <c r="H41" i="7"/>
  <c r="N34" i="7"/>
  <c r="N41" i="7" s="1"/>
  <c r="N40" i="7"/>
  <c r="M41" i="7"/>
  <c r="N14" i="7"/>
  <c r="AB14" i="7" s="1"/>
  <c r="AB34" i="7"/>
  <c r="AC7" i="7"/>
  <c r="Y41" i="7"/>
  <c r="Y40" i="7"/>
  <c r="L41" i="7"/>
  <c r="T41" i="7"/>
  <c r="J40" i="7"/>
  <c r="J41" i="7"/>
  <c r="O40" i="7"/>
  <c r="K41" i="7"/>
  <c r="K40" i="7"/>
  <c r="U41" i="7"/>
  <c r="Z9" i="7"/>
  <c r="S9" i="7"/>
  <c r="R29" i="7"/>
  <c r="R19" i="7"/>
  <c r="Q40" i="7"/>
  <c r="Q41" i="7"/>
  <c r="C24" i="7"/>
  <c r="AD23" i="7"/>
  <c r="AC23" i="7"/>
  <c r="AB31" i="7"/>
  <c r="AB8" i="7"/>
  <c r="D41" i="7"/>
  <c r="D40" i="7"/>
  <c r="AC11" i="9" l="1"/>
  <c r="AD11" i="9"/>
  <c r="P13" i="9"/>
  <c r="AB12" i="9"/>
  <c r="AD10" i="9"/>
  <c r="AC10" i="9"/>
  <c r="S29" i="7"/>
  <c r="S19" i="7"/>
  <c r="R40" i="7"/>
  <c r="R41" i="7"/>
  <c r="Z19" i="7"/>
  <c r="Z29" i="7"/>
  <c r="C25" i="7"/>
  <c r="AD24" i="7"/>
  <c r="AC24" i="7"/>
  <c r="AB9" i="7"/>
  <c r="AD8" i="7"/>
  <c r="AC8" i="7"/>
  <c r="AD12" i="9" l="1"/>
  <c r="AC12" i="9"/>
  <c r="P14" i="9"/>
  <c r="AB13" i="9"/>
  <c r="AB19" i="7"/>
  <c r="S40" i="7"/>
  <c r="AC40" i="7" s="1"/>
  <c r="D33" i="1" s="1"/>
  <c r="S41" i="7"/>
  <c r="AD41" i="7" s="1"/>
  <c r="E33" i="1" s="1"/>
  <c r="AB29" i="7"/>
  <c r="C26" i="7"/>
  <c r="AD25" i="7"/>
  <c r="AC25" i="7"/>
  <c r="AC9" i="7"/>
  <c r="AD9" i="7"/>
  <c r="K9" i="1" l="1"/>
  <c r="K5" i="1"/>
  <c r="AC13" i="9"/>
  <c r="AD13" i="9"/>
  <c r="P15" i="9"/>
  <c r="AB14" i="9"/>
  <c r="C27" i="7"/>
  <c r="AC26" i="7"/>
  <c r="AD26" i="7"/>
  <c r="K4" i="1" l="1"/>
  <c r="K8" i="1"/>
  <c r="AD14" i="9"/>
  <c r="AC14" i="9"/>
  <c r="P16" i="9"/>
  <c r="AB15" i="9"/>
  <c r="C28" i="7"/>
  <c r="AD27" i="7"/>
  <c r="AC27" i="7"/>
  <c r="AC15" i="9" l="1"/>
  <c r="AD15" i="9"/>
  <c r="P17" i="9"/>
  <c r="AB16" i="9"/>
  <c r="AD28" i="7"/>
  <c r="C29" i="7"/>
  <c r="AC28" i="7"/>
  <c r="AD16" i="9" l="1"/>
  <c r="AC16" i="9"/>
  <c r="P18" i="9"/>
  <c r="AB17" i="9"/>
  <c r="C30" i="7"/>
  <c r="AC29" i="7"/>
  <c r="AD29" i="7"/>
  <c r="AC17" i="9" l="1"/>
  <c r="AD17" i="9"/>
  <c r="P19" i="9"/>
  <c r="AB18" i="9"/>
  <c r="C31" i="7"/>
  <c r="AC30" i="7"/>
  <c r="AD30" i="7"/>
  <c r="P20" i="9" l="1"/>
  <c r="AB19" i="9"/>
  <c r="AC18" i="9"/>
  <c r="AD18" i="9"/>
  <c r="C32" i="7"/>
  <c r="AC31" i="7"/>
  <c r="AD31" i="7"/>
  <c r="AD19" i="9" l="1"/>
  <c r="AC19" i="9"/>
  <c r="P21" i="9"/>
  <c r="AB20" i="9"/>
  <c r="AD32" i="7"/>
  <c r="C33" i="7"/>
  <c r="AC32" i="7"/>
  <c r="AD20" i="9" l="1"/>
  <c r="AC20" i="9"/>
  <c r="P22" i="9"/>
  <c r="AB21" i="9"/>
  <c r="AD33" i="7"/>
  <c r="C34" i="7"/>
  <c r="AC33" i="7"/>
  <c r="P23" i="9" l="1"/>
  <c r="AB22" i="9"/>
  <c r="AD21" i="9"/>
  <c r="AC21" i="9"/>
  <c r="C35" i="7"/>
  <c r="AD22" i="9" l="1"/>
  <c r="AC22" i="9"/>
  <c r="P24" i="9"/>
  <c r="AB23" i="9"/>
  <c r="AD35" i="7"/>
  <c r="C36" i="7"/>
  <c r="AC35" i="7"/>
  <c r="AD23" i="9" l="1"/>
  <c r="AC23" i="9"/>
  <c r="P25" i="9"/>
  <c r="AB24" i="9"/>
  <c r="AC36" i="7"/>
  <c r="C37" i="7"/>
  <c r="AD36" i="7"/>
  <c r="P26" i="9" l="1"/>
  <c r="AB25" i="9"/>
  <c r="AC24" i="9"/>
  <c r="AD24" i="9"/>
  <c r="AD37" i="7"/>
  <c r="C38" i="7"/>
  <c r="AC37" i="7"/>
  <c r="AD25" i="9" l="1"/>
  <c r="AC25" i="9"/>
  <c r="P27" i="9"/>
  <c r="AB26" i="9"/>
  <c r="AC38" i="7"/>
  <c r="AD38" i="7"/>
  <c r="C39" i="7"/>
  <c r="AD26" i="9" l="1"/>
  <c r="AC26" i="9"/>
  <c r="P28" i="9"/>
  <c r="AB27" i="9"/>
  <c r="AC39" i="7"/>
  <c r="AD39" i="7"/>
  <c r="AC34" i="7"/>
  <c r="AC43" i="7" s="1"/>
  <c r="D34" i="1" s="1"/>
  <c r="AD34" i="7"/>
  <c r="AB42" i="7"/>
  <c r="C28" i="1" s="1"/>
  <c r="AD27" i="9" l="1"/>
  <c r="AC27" i="9"/>
  <c r="P29" i="9"/>
  <c r="AB28" i="9"/>
  <c r="AD43" i="7"/>
  <c r="E34" i="1" s="1"/>
  <c r="AD42" i="7"/>
  <c r="E28" i="1" s="1"/>
  <c r="AC42" i="7"/>
  <c r="D28" i="1" s="1"/>
  <c r="P30" i="9" l="1"/>
  <c r="AB29" i="9"/>
  <c r="AD28" i="9"/>
  <c r="AC28" i="9"/>
  <c r="AC29" i="9" l="1"/>
  <c r="AD29" i="9"/>
  <c r="P31" i="9"/>
  <c r="AB30" i="9"/>
  <c r="P32" i="9" l="1"/>
  <c r="AB31" i="9"/>
  <c r="AD30" i="9"/>
  <c r="AC30" i="9"/>
  <c r="AD31" i="9" l="1"/>
  <c r="AC31" i="9"/>
  <c r="P33" i="9"/>
  <c r="AB32" i="9"/>
  <c r="P34" i="9" l="1"/>
  <c r="AB33" i="9"/>
  <c r="AC32" i="9"/>
  <c r="AD32" i="9"/>
  <c r="AD33" i="9" l="1"/>
  <c r="AC33" i="9"/>
  <c r="P35" i="9"/>
  <c r="AB34" i="9"/>
  <c r="P36" i="9" l="1"/>
  <c r="AB35" i="9"/>
  <c r="AC34" i="9"/>
  <c r="AD34" i="9"/>
  <c r="AD35" i="9" l="1"/>
  <c r="AC35" i="9"/>
  <c r="P37" i="9"/>
  <c r="AB36" i="9"/>
  <c r="P38" i="9" l="1"/>
  <c r="AB37" i="9"/>
  <c r="AD36" i="9"/>
  <c r="AC36" i="9"/>
  <c r="AD37" i="9" l="1"/>
  <c r="AC37" i="9"/>
  <c r="P39" i="9"/>
  <c r="AB39" i="9" s="1"/>
  <c r="AB38" i="9"/>
  <c r="AD39" i="9" l="1"/>
  <c r="AC39" i="9"/>
  <c r="AB40" i="9"/>
  <c r="C29" i="1" s="1"/>
  <c r="C30" i="1" s="1"/>
  <c r="C31" i="1" s="1"/>
  <c r="AD38" i="9"/>
  <c r="AC38" i="9"/>
  <c r="AC40" i="9" l="1"/>
  <c r="D29" i="1" s="1"/>
  <c r="AD40" i="9"/>
  <c r="E29" i="1" s="1"/>
  <c r="D30" i="1" l="1"/>
  <c r="D31" i="1" s="1"/>
  <c r="D35" i="1"/>
  <c r="D36" i="1" s="1"/>
  <c r="E35" i="1"/>
  <c r="E36" i="1" s="1"/>
  <c r="E30" i="1"/>
  <c r="E31" i="1" s="1"/>
</calcChain>
</file>

<file path=xl/sharedStrings.xml><?xml version="1.0" encoding="utf-8"?>
<sst xmlns="http://schemas.openxmlformats.org/spreadsheetml/2006/main" count="958" uniqueCount="528">
  <si>
    <t>Current Status/Baseline &amp; Problem to be Addressed</t>
  </si>
  <si>
    <t>Change to Baseline/Alternative</t>
  </si>
  <si>
    <t>Type of Impact</t>
  </si>
  <si>
    <t>Population Affected By Impacts</t>
  </si>
  <si>
    <t>Economic Benefit</t>
  </si>
  <si>
    <t>Summary of Results
(7% Discount, 20 years)</t>
  </si>
  <si>
    <t>Page Reference in BCA
(Spreadsheet)</t>
  </si>
  <si>
    <t>Travel Time Savings</t>
  </si>
  <si>
    <t>Travel Time NVP</t>
  </si>
  <si>
    <t>User Cost Savings</t>
  </si>
  <si>
    <t>User Cost NPV</t>
  </si>
  <si>
    <t>Air Quality reduction in emissions</t>
  </si>
  <si>
    <t>Air Quality NPV</t>
  </si>
  <si>
    <t>Safety NPV</t>
  </si>
  <si>
    <t>Good Repair savings</t>
  </si>
  <si>
    <t>Discount Rate</t>
  </si>
  <si>
    <t>No Discount</t>
  </si>
  <si>
    <t>Benefits</t>
  </si>
  <si>
    <t>Good Repair</t>
  </si>
  <si>
    <t>Economic Competitveness</t>
  </si>
  <si>
    <t>User Time Savings</t>
  </si>
  <si>
    <t>Quality of Life</t>
  </si>
  <si>
    <t>Sustainability</t>
  </si>
  <si>
    <t>Greenhouse Gas &amp; Emissions Cost Reductions</t>
  </si>
  <si>
    <t>Safety</t>
  </si>
  <si>
    <t>Total Benefits</t>
  </si>
  <si>
    <t>Costs</t>
  </si>
  <si>
    <t>Capital Costs</t>
  </si>
  <si>
    <t>O&amp;M Costs</t>
  </si>
  <si>
    <t>Total Costs</t>
  </si>
  <si>
    <t>Benefits - Costs</t>
  </si>
  <si>
    <t>Year</t>
  </si>
  <si>
    <t>Factor</t>
  </si>
  <si>
    <t>Total</t>
  </si>
  <si>
    <t>Current Year =</t>
  </si>
  <si>
    <t>NPV
7%</t>
  </si>
  <si>
    <t>NPV
3%</t>
  </si>
  <si>
    <t>Air Quality benefits from reductions in emissions due to changes in VMT</t>
  </si>
  <si>
    <t>Safety Benefits from reductions in crashes due to VMT reductions</t>
  </si>
  <si>
    <t>PDO</t>
  </si>
  <si>
    <t>Element</t>
  </si>
  <si>
    <t>Starting Year</t>
  </si>
  <si>
    <t>-</t>
  </si>
  <si>
    <t>Subtotal</t>
  </si>
  <si>
    <t>Capital Cost Net Present Value Calculations</t>
  </si>
  <si>
    <t xml:space="preserve">             Life
Year</t>
  </si>
  <si>
    <t>Residual Cap Value</t>
  </si>
  <si>
    <t>Remaining Years</t>
  </si>
  <si>
    <t>In Service Years</t>
  </si>
  <si>
    <t>r = discount rate</t>
  </si>
  <si>
    <t>L= Econ Life</t>
  </si>
  <si>
    <t>RCV = A*(B-C)/B</t>
  </si>
  <si>
    <t>r=</t>
  </si>
  <si>
    <t>A = (1+r)^n</t>
  </si>
  <si>
    <t>B = ((1+r)^L-1)/(r(1+r)^L)</t>
  </si>
  <si>
    <t>C = ((1+r)^n-1)/(r(1+r)^n)</t>
  </si>
  <si>
    <t>RCV at 7%</t>
  </si>
  <si>
    <t>RCV at 3%</t>
  </si>
  <si>
    <t>Consumer Price Index - All Urban Consumers</t>
  </si>
  <si>
    <t>Original Data Value</t>
  </si>
  <si>
    <t>Source</t>
  </si>
  <si>
    <t>Series Id:</t>
  </si>
  <si>
    <t>CUSR0000SA0</t>
  </si>
  <si>
    <t xml:space="preserve">http://data.bls.gov/timeseries/CUSR0000SA0 </t>
  </si>
  <si>
    <t>Seasonally Adjusted</t>
  </si>
  <si>
    <t xml:space="preserve">Accessed: April 12, 2016 </t>
  </si>
  <si>
    <t>Area:</t>
  </si>
  <si>
    <t>U.S. city average</t>
  </si>
  <si>
    <t>Item:</t>
  </si>
  <si>
    <t>All items</t>
  </si>
  <si>
    <t>Base Period:</t>
  </si>
  <si>
    <t>1982-84=100</t>
  </si>
  <si>
    <t>Years:</t>
  </si>
  <si>
    <t>Jan</t>
  </si>
  <si>
    <t>Feb</t>
  </si>
  <si>
    <t>Mar</t>
  </si>
  <si>
    <t>Apr</t>
  </si>
  <si>
    <t>May</t>
  </si>
  <si>
    <t>Jun</t>
  </si>
  <si>
    <t>Jul</t>
  </si>
  <si>
    <t>Aug</t>
  </si>
  <si>
    <t>Sep</t>
  </si>
  <si>
    <t>Oct</t>
  </si>
  <si>
    <t>Nov</t>
  </si>
  <si>
    <t>Dec</t>
  </si>
  <si>
    <t>Annual</t>
  </si>
  <si>
    <t>HALF1</t>
  </si>
  <si>
    <t>HALF2</t>
  </si>
  <si>
    <t>CPI</t>
  </si>
  <si>
    <t>Conversion Factor</t>
  </si>
  <si>
    <t>to Year</t>
  </si>
  <si>
    <t>From Year</t>
  </si>
  <si>
    <t>Construction</t>
  </si>
  <si>
    <t>Service Opening</t>
  </si>
  <si>
    <t>CBA Horizon Year</t>
  </si>
  <si>
    <t>2012 - 2022</t>
  </si>
  <si>
    <t>CBA Span (Years) after opening</t>
  </si>
  <si>
    <t>See guidance page 9</t>
  </si>
  <si>
    <t>NA</t>
  </si>
  <si>
    <t>Base Year for NPV ($)</t>
  </si>
  <si>
    <t>Build</t>
  </si>
  <si>
    <t>2020$</t>
  </si>
  <si>
    <t>Pre-Opening Management &amp; Inspection</t>
  </si>
  <si>
    <t>* 2021 to 2020 Factor = 0.9522)</t>
  </si>
  <si>
    <t>Total
2020$</t>
  </si>
  <si>
    <t>Total
2020 $</t>
  </si>
  <si>
    <t>Personal Auto Accident Reduction</t>
  </si>
  <si>
    <t>Benefit-Cost Analysis Summary (2020$)</t>
  </si>
  <si>
    <t>Residual Costs</t>
  </si>
  <si>
    <t>(Benefits + O&amp;M + Residual)</t>
  </si>
  <si>
    <t>BCR from Guidance (Benefits +O&amp;M+Residual)</t>
  </si>
  <si>
    <t>With Residual</t>
  </si>
  <si>
    <t>Wo Residual</t>
  </si>
  <si>
    <t>Costs without Residual</t>
  </si>
  <si>
    <t>Miscellaneous</t>
  </si>
  <si>
    <t>From Readiness Noteboook.</t>
  </si>
  <si>
    <t>Project Element</t>
  </si>
  <si>
    <t>Amount</t>
  </si>
  <si>
    <t>Site Clearance, Demolition &amp; Remediation</t>
  </si>
  <si>
    <t>Design/Permitting</t>
  </si>
  <si>
    <t>Inspection/Administration</t>
  </si>
  <si>
    <t>Cargo Center Terminal &amp; Facilities</t>
  </si>
  <si>
    <t>PROJECT SCHEDULE</t>
  </si>
  <si>
    <t xml:space="preserve">The current target for opening of cargo center is the first quarter of 2025.  The schedule below is conceptual in nature as extensive coordination is required among OIAA, the roadway contractor, and cargo center developer in order to maintain safe and efficient site access.  By the time of RAISE grant award execution, OIAA will be able to commit to a more specific schedule that is currently under negotiation in the cargo center land lease agreement.  To minimize budget and schedule risk of the roadway relocation, the critical path is to achieve final design and permitting for the roadway improvements by end of of the first quarter in 2023.  Scheduling can then be harmonized with the site work of the cargo center.  </t>
  </si>
  <si>
    <t>Roadway Design &amp; Permitting</t>
  </si>
  <si>
    <t>Bid Phase &amp; Mobilization</t>
  </si>
  <si>
    <t>Road Construction</t>
  </si>
  <si>
    <t>Cargo Center Development</t>
  </si>
  <si>
    <t>Site Infrastructure Design &amp; Permitting</t>
  </si>
  <si>
    <t>Site Clearing &amp; Remediation</t>
  </si>
  <si>
    <t>Cargo Center Construction &amp; Commissioning</t>
  </si>
  <si>
    <t>No ROW Costs</t>
  </si>
  <si>
    <t>Realignment of Avion &amp; Jurupa Streets.</t>
  </si>
  <si>
    <t>Sitework  (Demolition, Clearing/Grubbing, Waste &amp; Disposal,…)</t>
  </si>
  <si>
    <t>Road Paving &amp; Structures</t>
  </si>
  <si>
    <t>Bridge Rehabilitation</t>
  </si>
  <si>
    <t>Traffic Signals &amp; Lighting</t>
  </si>
  <si>
    <t>Drainage &amp; Utilities</t>
  </si>
  <si>
    <t>Design Evolution (25%)</t>
  </si>
  <si>
    <t>2021$</t>
  </si>
  <si>
    <t>Planning, Design, Costing, Testing, Permitting</t>
  </si>
  <si>
    <t>Program Management &amp; Other Miscellaneous</t>
  </si>
  <si>
    <t>Fencing</t>
  </si>
  <si>
    <t>Pavement marking &amp; signage</t>
  </si>
  <si>
    <t>Median Island &amp; Pedestrian Crossing (s)</t>
  </si>
  <si>
    <t>2020$*</t>
  </si>
  <si>
    <t>Economic Life</t>
  </si>
  <si>
    <t>2023-2024</t>
  </si>
  <si>
    <t>General Construction (QC, Erosion/Siltation Control, Mobiliization…)</t>
  </si>
  <si>
    <t>Pavement Markings</t>
  </si>
  <si>
    <t>Signal System</t>
  </si>
  <si>
    <t>Vehicle Detection</t>
  </si>
  <si>
    <t>Traffic Control and Miscellaneous</t>
  </si>
  <si>
    <t>Lighting</t>
  </si>
  <si>
    <t>Stormwater</t>
  </si>
  <si>
    <t>Sewer</t>
  </si>
  <si>
    <t>Natural Gas</t>
  </si>
  <si>
    <t>Miscellaneous utilities (com mostly)</t>
  </si>
  <si>
    <t>Main Water Lines</t>
  </si>
  <si>
    <t>How long does sewer pipes last?</t>
  </si>
  <si>
    <t>The life of your sewer line depends on your pipe's material. Cast iron pipes last between 75–100 years, clay and cement pipes can last up to 100 years, orangeburg pipes last around 50 years, and PVC pipes can last over 100 years.</t>
  </si>
  <si>
    <t>Life expectancy of water distribution lines</t>
  </si>
  <si>
    <r>
      <t>​</t>
    </r>
    <r>
      <rPr>
        <sz val="12"/>
        <color rgb="FF444444"/>
        <rFont val="Lato"/>
        <family val="2"/>
      </rPr>
      <t>Cast iron pipes – Used during the late 19th and early 20th centuries </t>
    </r>
  </si>
  <si>
    <t>​120 years</t>
  </si>
  <si>
    <t>​Iron pipes – Introduced in the 1920s and thinner than cast iron pipes</t>
  </si>
  <si>
    <t>​100 years</t>
  </si>
  <si>
    <t>​Ductile iron pipes - In use beginning in the 1950s</t>
  </si>
  <si>
    <t>​Polyvinyl Chloride (PVC) - Popular in the 1970s</t>
  </si>
  <si>
    <t>​70 years</t>
  </si>
  <si>
    <t>​High-density Polyethylene – Popular since 1990s</t>
  </si>
  <si>
    <t>A water treatment plant has a life span between 25 and 50 years - U.S. Environmental Protection Agency</t>
  </si>
  <si>
    <t>Design Evolution (25% of Construction)</t>
  </si>
  <si>
    <t>Miscellaneous utilities 
(com mostly)</t>
  </si>
  <si>
    <t xml:space="preserve">General Construction </t>
  </si>
  <si>
    <t xml:space="preserve">Sitework  </t>
  </si>
  <si>
    <t>Program Management &amp; Other Misc.</t>
  </si>
  <si>
    <t>All dollars in 2020$</t>
  </si>
  <si>
    <t>Design &amp; Permitting</t>
  </si>
  <si>
    <t>Annual O&amp;M</t>
  </si>
  <si>
    <t>Inspection &amp; Adminstration</t>
  </si>
  <si>
    <t>Site Clearance, Demolition &amp; Remediation (Part of Sitework)</t>
  </si>
  <si>
    <t>Construction Source: Realignment of Avion St. and Jurupa St.: 30% Design Estimate and Construction Schedule Report (Connico Inc.,April 30, 2021)</t>
  </si>
  <si>
    <t>Size of Cargo Center</t>
  </si>
  <si>
    <t>Size of Avion Street changes</t>
  </si>
  <si>
    <t>Miles of Avion Street changes</t>
  </si>
  <si>
    <t>Avion Street/Jarupa Street Relocation &amp; Widening</t>
  </si>
  <si>
    <t>Avion St/Jarupa Street Relocation</t>
  </si>
  <si>
    <t>California </t>
  </si>
  <si>
    <t>Kentucky </t>
  </si>
  <si>
    <t>2021 Annual Average Cost of Living</t>
  </si>
  <si>
    <t>Previous ColumnNext Column</t>
  </si>
  <si>
    <t>Rank</t>
  </si>
  <si>
    <t>State</t>
  </si>
  <si>
    <t>Index</t>
  </si>
  <si>
    <t> Grocery</t>
  </si>
  <si>
    <t>Housing</t>
  </si>
  <si>
    <t>Utilities</t>
  </si>
  <si>
    <t>Transportation</t>
  </si>
  <si>
    <t>Health </t>
  </si>
  <si>
    <t>Misc.</t>
  </si>
  <si>
    <t>Ratio</t>
  </si>
  <si>
    <t>State of Good repair O&amp;M roadway from Ky 54 Corridor Improvements (2019$)</t>
  </si>
  <si>
    <t>Avion Street/Jarupa Street length (ft &amp; miles)</t>
  </si>
  <si>
    <t>Nobuild</t>
  </si>
  <si>
    <t>Bridge Size</t>
  </si>
  <si>
    <t>Poor</t>
  </si>
  <si>
    <t>Excellent</t>
  </si>
  <si>
    <t>Fail</t>
  </si>
  <si>
    <t>From Google Earth</t>
  </si>
  <si>
    <t>New Location</t>
  </si>
  <si>
    <t>Length ft</t>
  </si>
  <si>
    <t>Length Miles</t>
  </si>
  <si>
    <t>Lane Miles</t>
  </si>
  <si>
    <t xml:space="preserve">Signal </t>
  </si>
  <si>
    <t>in Road Maint</t>
  </si>
  <si>
    <t>Assume replacement at end of life</t>
  </si>
  <si>
    <t>In Road maintenance and operations</t>
  </si>
  <si>
    <t>$/lane mile(california, $2020)</t>
  </si>
  <si>
    <t>Savings</t>
  </si>
  <si>
    <t>Good</t>
  </si>
  <si>
    <t>Operating &amp; Maintenance Cost Net Present Value Calculations</t>
  </si>
  <si>
    <t>Signal</t>
  </si>
  <si>
    <t>In replacement</t>
  </si>
  <si>
    <t>In Road Paving</t>
  </si>
  <si>
    <t>In Traffic Control</t>
  </si>
  <si>
    <t>Not fixed per year</t>
  </si>
  <si>
    <t>From averages of the topsbc workbook</t>
  </si>
  <si>
    <t>For inspection minor repair</t>
  </si>
  <si>
    <t>For inspection, cleaning, minor repair</t>
  </si>
  <si>
    <t>for inspection</t>
  </si>
  <si>
    <t>c</t>
  </si>
  <si>
    <t>o</t>
  </si>
  <si>
    <t>n</t>
  </si>
  <si>
    <t>s</t>
  </si>
  <si>
    <t>t</t>
  </si>
  <si>
    <t>r</t>
  </si>
  <si>
    <t>u</t>
  </si>
  <si>
    <t>i</t>
  </si>
  <si>
    <t>Previous Grant Application from "Springfield Oregon Franklin Blvd (2019$)</t>
  </si>
  <si>
    <t>Combination of costs from US DOT ITS Cost Database (surveillance + systems)</t>
  </si>
  <si>
    <t>Fencing (Feet)</t>
  </si>
  <si>
    <t>Fencing (1579 ft)</t>
  </si>
  <si>
    <t xml:space="preserve">Michigan </t>
  </si>
  <si>
    <t>ca to ky</t>
  </si>
  <si>
    <t>ca to mi</t>
  </si>
  <si>
    <t>from BLS website</t>
  </si>
  <si>
    <t>from Michigan example in  ESTIMATING COST PER LANE MILE FOR ROUTINE HIGHWAY OPERATIONS AND MAINTENANCE
January 2011 converted to 2020$ and California costs. $23/ft in 2006$</t>
  </si>
  <si>
    <t>FY 2021 Maryland Raise Grant for Interstate 81 &amp; Halfway Boulevard For base costs</t>
  </si>
  <si>
    <t>No Maintenance costs in first 5 years</t>
  </si>
  <si>
    <t>$/Mile</t>
  </si>
  <si>
    <t>FY 2021 Raise Grant KY 54 Corridor Improvements, Davieess Co. Kentucky for ratios of poor to excellent conditions = 0.3</t>
  </si>
  <si>
    <t>3.5 miles</t>
  </si>
  <si>
    <t>4 lanes</t>
  </si>
  <si>
    <t>Lanes miles</t>
  </si>
  <si>
    <t>O&amp;M</t>
  </si>
  <si>
    <t>O&amp;M/Lanemile</t>
  </si>
  <si>
    <t>Fac type Adj.</t>
  </si>
  <si>
    <t>California Adj</t>
  </si>
  <si>
    <t>Maryland </t>
  </si>
  <si>
    <t>Ca to Md</t>
  </si>
  <si>
    <t>Not fixed O&amp;M.  
Calculate Change based upon bad road in base line, and no replacement.
Build assumes new road with proper maintence and R&amp;R at 15 years.</t>
  </si>
  <si>
    <t>Transportation Cost and Benefit Analysis II, VTPI, 2021</t>
  </si>
  <si>
    <t>R&amp;R/New Alignmernt</t>
  </si>
  <si>
    <t>R&amp;R at 15 years</t>
  </si>
  <si>
    <t>Surface part of Road maintenace.  Bridge structural, channel cleaning etc. inlcuded here</t>
  </si>
  <si>
    <t>Annual Bridge Costs for inxpection, channel cleaning, structural painting, etc., simply estimated as difference from nobuild.</t>
  </si>
  <si>
    <t>Truck Trips</t>
  </si>
  <si>
    <t>AOT Project ADT</t>
  </si>
  <si>
    <t>Jurupa between Archibald and Hofer Ranch</t>
  </si>
  <si>
    <t>Jurupa between Hofer Ranch Road and Turner</t>
  </si>
  <si>
    <t>Jurupa between Turner and Haven</t>
  </si>
  <si>
    <t>Jurupa between Haven and Commerce</t>
  </si>
  <si>
    <t>Jurupa between Commerce and Dupont</t>
  </si>
  <si>
    <t>Jurupa between Dupont and Milken</t>
  </si>
  <si>
    <t>Jurupa between Milken and Rockefeller/Toyota</t>
  </si>
  <si>
    <t xml:space="preserve">Jurupa between Rockefeller/Toyota and I-15 SB Ramps </t>
  </si>
  <si>
    <t>Jurupa between I-15 Ramps</t>
  </si>
  <si>
    <t>Avion St East of Vineyard</t>
  </si>
  <si>
    <t xml:space="preserve">Jurupa West of Archibald </t>
  </si>
  <si>
    <t>Source: Traffic Consultant.  Barlb</t>
  </si>
  <si>
    <t>Segment</t>
  </si>
  <si>
    <t xml:space="preserve"> ADT</t>
  </si>
  <si>
    <t>Nobuild ADT</t>
  </si>
  <si>
    <t>Build ADT</t>
  </si>
  <si>
    <t>Build-Nobuild</t>
  </si>
  <si>
    <t>Miles/day</t>
  </si>
  <si>
    <t>LAX</t>
  </si>
  <si>
    <t>Ontario</t>
  </si>
  <si>
    <t>Customers</t>
  </si>
  <si>
    <t>Up</t>
  </si>
  <si>
    <t>Faster</t>
  </si>
  <si>
    <t>Miles/Trip</t>
  </si>
  <si>
    <t>Ann% Growth
Build</t>
  </si>
  <si>
    <t>Ann% Growth 
Nobuild</t>
  </si>
  <si>
    <t>2054 (Assume 1/2 growth rate  for 14 years)</t>
  </si>
  <si>
    <t>Improvement in MPH</t>
  </si>
  <si>
    <t xml:space="preserve">Reduction in Delays at airport, idling, </t>
  </si>
  <si>
    <t>Trucks</t>
  </si>
  <si>
    <t>Condition</t>
  </si>
  <si>
    <t>Avion St./Jarupa St. length (ft &amp; miles)</t>
  </si>
  <si>
    <t>MPH</t>
  </si>
  <si>
    <t>Avion VMT (Daily)</t>
  </si>
  <si>
    <t>Avion VHT (Daily)</t>
  </si>
  <si>
    <t>2021 build ADT</t>
  </si>
  <si>
    <t>2021 build Avion VMT (Daily)</t>
  </si>
  <si>
    <t>2021 build Avion VHT (Daily)</t>
  </si>
  <si>
    <t>3 year crash data</t>
  </si>
  <si>
    <t>Fatal</t>
  </si>
  <si>
    <t>Injury</t>
  </si>
  <si>
    <t>3 year VMT</t>
  </si>
  <si>
    <t>Annual vmt</t>
  </si>
  <si>
    <t>Rate per MVM</t>
  </si>
  <si>
    <t>2021 NB</t>
  </si>
  <si>
    <t>2021 Build</t>
  </si>
  <si>
    <t>2040 NB</t>
  </si>
  <si>
    <t>2040 Build</t>
  </si>
  <si>
    <t>ITEMIZED BENEFITS (mil. $)</t>
  </si>
  <si>
    <t xml:space="preserve">     Travel Time Savings</t>
  </si>
  <si>
    <t xml:space="preserve">     Travel Time Reliability Benefits</t>
  </si>
  <si>
    <t xml:space="preserve">     Veh. Op. Cost Savings</t>
  </si>
  <si>
    <t xml:space="preserve">     Accident Cost Savings</t>
  </si>
  <si>
    <t xml:space="preserve">     Emission Cost Savings</t>
  </si>
  <si>
    <t>TOTAL BENEFITS</t>
  </si>
  <si>
    <t>per million</t>
  </si>
  <si>
    <t>Calculations from Cal-BCcal-bc-81-corridor-infra-a11y.xlsm</t>
  </si>
  <si>
    <t>Accident Costs</t>
  </si>
  <si>
    <t>From Cal-BC</t>
  </si>
  <si>
    <t>Emisions</t>
  </si>
  <si>
    <t>Vehicle Operating Cost Savings</t>
  </si>
  <si>
    <t>Reliability</t>
  </si>
  <si>
    <t>Reliabiity Benefits</t>
  </si>
  <si>
    <t xml:space="preserve">Travel Time Reliability </t>
  </si>
  <si>
    <t xml:space="preserve">State of Good Repair </t>
  </si>
  <si>
    <t>In O&amp;M Cost Savings, Change in Travel Time</t>
  </si>
  <si>
    <t>Travel Time Savings on Avion &amp; Jarupa</t>
  </si>
  <si>
    <t>Freight Operations Benefits (Time)</t>
  </si>
  <si>
    <t>Truck Time Savings</t>
  </si>
  <si>
    <t>Data from Cargo Center &amp; Carrier</t>
  </si>
  <si>
    <t>Aircraft Operations</t>
  </si>
  <si>
    <t>Arrivals</t>
  </si>
  <si>
    <t>Departures</t>
  </si>
  <si>
    <t>Operations</t>
  </si>
  <si>
    <t>Opening Build</t>
  </si>
  <si>
    <t>Current</t>
  </si>
  <si>
    <t>Ontario Airport</t>
  </si>
  <si>
    <t>Speed Change</t>
  </si>
  <si>
    <t xml:space="preserve">Truck Data for shift in Airports (6 planes) </t>
  </si>
  <si>
    <t>Increase</t>
  </si>
  <si>
    <t>Ontario Expansion in enplanments by 2029</t>
  </si>
  <si>
    <t>Not inlcuded in the Quantitative Analysis due to speculative nature.</t>
  </si>
  <si>
    <t>change in Travel time</t>
  </si>
  <si>
    <t xml:space="preserve">                                                     </t>
  </si>
  <si>
    <t>Truck Drive VOT in 2022$ from Grant Guidance</t>
  </si>
  <si>
    <t>Travel Time $</t>
  </si>
  <si>
    <t>Truck Travel Time</t>
  </si>
  <si>
    <t>Year Dollars</t>
  </si>
  <si>
    <t>NPV</t>
  </si>
  <si>
    <t>Carrier Benefits (time for current operations)</t>
  </si>
  <si>
    <t xml:space="preserve">Change in system use 
</t>
  </si>
  <si>
    <t>O&amp;M NPV</t>
  </si>
  <si>
    <t>Vehicle Operating Costs</t>
  </si>
  <si>
    <t xml:space="preserve">Carrier Benefits
</t>
  </si>
  <si>
    <t xml:space="preserve">Avion Jarupa Realignment and Bridge Reconstruction </t>
  </si>
  <si>
    <t>NOT USED FOR GRANT CBA</t>
  </si>
  <si>
    <r>
      <rPr>
        <b/>
        <sz val="12"/>
        <color rgb="FFFF0000"/>
        <rFont val="Calibri"/>
        <family val="2"/>
        <scheme val="minor"/>
      </rPr>
      <t xml:space="preserve">NOT USED FOR GRANT BCA </t>
    </r>
    <r>
      <rPr>
        <b/>
        <sz val="12"/>
        <color theme="1"/>
        <rFont val="Calibri"/>
        <family val="2"/>
        <scheme val="minor"/>
      </rPr>
      <t xml:space="preserve">
Cargo Center Terminal &amp; Facilities</t>
    </r>
  </si>
  <si>
    <t>Savings in O&amp;M costs over time</t>
  </si>
  <si>
    <t>Demand Analysis</t>
  </si>
  <si>
    <t>Used in other calculations</t>
  </si>
  <si>
    <t>Savings of $13,382 in years 1-5, 
$9,455 in following years, 
offset by R&amp;R of $1,494,000 in year 15.</t>
  </si>
  <si>
    <t xml:space="preserve">All commercial vehicles that service the 6 planes that have been shifted from LAX to Ontario Airports for their arrivals and departures.
</t>
  </si>
  <si>
    <t>All costs are calculated using the cost  and assumptions provided in the Cost Items, Cap Costs NPV and O&amp;M Costs NPV Tabs</t>
  </si>
  <si>
    <t xml:space="preserve">Because this project is located in California, this CBA uses the 2022 Cal-BC software (Raise Grant edition for corridor improvements  cal-bc-81-corridor-infra-a11y.xlsm) to calculate the benefits associated with the grant application for the Avion &amp; Jurupa Streets.
The calculations are stored in CALBCONTAIR_AvionJarupaRealign.xlsm
The benefits associated with Freight Operations (shift of 6 planes per day from LAX to Ontario) are carried out in the "Freight Operations Benefits" tab.
</t>
  </si>
  <si>
    <t>Assumptions:</t>
  </si>
  <si>
    <t xml:space="preserve">All vehicles using E. Avion and Jurupa Streets. 
</t>
  </si>
  <si>
    <t xml:space="preserve">All vehicles using El Avion and Jurupa Streets. 
</t>
  </si>
  <si>
    <t>Input into other impacts (below)</t>
  </si>
  <si>
    <t>Monetized value of travel time savings</t>
  </si>
  <si>
    <t>Monetized value of User Cost Savings</t>
  </si>
  <si>
    <t>Monetized value of truck travel time and improved operations</t>
  </si>
  <si>
    <t>Monetized value of accident costs</t>
  </si>
  <si>
    <t>Monetized value of emission Reductions.</t>
  </si>
  <si>
    <t>* This BCA focuses on the benefits and costs with the RAISE Grant associated with the Reconstruction &amp; Realignment of E. Avion &amp; Jurupa Streets including the Jurupa Street Bridge across the Cucamonga Channel. 
* Current segment length is 1.09 miles
* Current road condition is failing/poor with rough crumbling pavement and potholes
* The current alignment includes two 90 degree turns causing reduction in speeds and unsafe conditions particularly for large trucks.
* Current average road speed is 10 mph for trucks and autos.
* The carrier also operates 7 flights a day to/from LAX airport (14 total operations) with their associated cargo truck movements.  LAX is not centrally located with respect to the carrier clients and traffic to/from the airport is subject to significant congestion and delays getting to the cargo center.  51 truck trips a day travelling 2,277 miles are associated with the 6 flights that may be relocated to the Ontario Airport as part of this project.
* The benefit calculations focus on the vehicle traffic that currently travel on the E. Avion and Jurupa roads as well as the shift in the Freight Operations.</t>
  </si>
  <si>
    <t>Monetized value of improved reliability</t>
  </si>
  <si>
    <t>Travel on E. Avion and Jurupa in Yellow.</t>
  </si>
  <si>
    <t>Calculations from CALBCONTAIR_AvionJarupaRealign.xlsm</t>
  </si>
  <si>
    <t>Formulas:</t>
  </si>
  <si>
    <t xml:space="preserve">Avg. Travel Time = Total PHT / Total Person Trips </t>
  </si>
  <si>
    <t>for transit</t>
  </si>
  <si>
    <t>Total Vehicle-Hours Traveled = Daily VHT x Annualization Factor</t>
  </si>
  <si>
    <t xml:space="preserve">hrs / person             passenger-hrs / yr </t>
  </si>
  <si>
    <t>trips / yr</t>
  </si>
  <si>
    <t xml:space="preserve">vehicle-hrs / yr </t>
  </si>
  <si>
    <t>vehicle hrs / day</t>
  </si>
  <si>
    <t>days / yr</t>
  </si>
  <si>
    <t>Avg. Value of Time (varies by vehicle type)</t>
  </si>
  <si>
    <t>Avg. Travel Time = Total VHT x AVO / Total Person Trips</t>
  </si>
  <si>
    <t>for hwy</t>
  </si>
  <si>
    <t xml:space="preserve">TT Savings =  Travel Time Reduction  x  Avg. Value of Time </t>
  </si>
  <si>
    <t xml:space="preserve">hrs / person             vehicle-hrs / yr </t>
  </si>
  <si>
    <t xml:space="preserve">     people / veh</t>
  </si>
  <si>
    <t>dollars / year</t>
  </si>
  <si>
    <t>hours</t>
  </si>
  <si>
    <t xml:space="preserve">           dollars / hr  </t>
  </si>
  <si>
    <t>Highway and Transit Benefits</t>
  </si>
  <si>
    <t>TOTAL VHT</t>
  </si>
  <si>
    <t>AVERAGE VEH OCC</t>
  </si>
  <si>
    <t>PERCENT TRUCKS</t>
  </si>
  <si>
    <t>TOTAL PHT</t>
  </si>
  <si>
    <t>AVERAGE TRAVEL TIME</t>
  </si>
  <si>
    <t>TIME BENEFIT</t>
  </si>
  <si>
    <t>Total Per-Hrs of Time Saved</t>
  </si>
  <si>
    <t>(veh-hours/yr)</t>
  </si>
  <si>
    <t>(persons/vehicle)</t>
  </si>
  <si>
    <t>(trips/yr)</t>
  </si>
  <si>
    <t xml:space="preserve">   (%)</t>
  </si>
  <si>
    <t>(per-hours/yr)</t>
  </si>
  <si>
    <t xml:space="preserve">       (hours/trip)</t>
  </si>
  <si>
    <t>($/yr)</t>
  </si>
  <si>
    <t>Adjusted (no induced)</t>
  </si>
  <si>
    <t>Existing</t>
  </si>
  <si>
    <t>Constant</t>
  </si>
  <si>
    <t>Present</t>
  </si>
  <si>
    <t>No Build</t>
  </si>
  <si>
    <t>Users</t>
  </si>
  <si>
    <t>Dollars</t>
  </si>
  <si>
    <t>Value</t>
  </si>
  <si>
    <t>TOTAL VEHICLE TRIPS</t>
  </si>
  <si>
    <t>Value of</t>
  </si>
  <si>
    <t>Per-Hrs</t>
  </si>
  <si>
    <t>Travel Time</t>
  </si>
  <si>
    <t>of Time</t>
  </si>
  <si>
    <t>Saved</t>
  </si>
  <si>
    <t>Avion/Jurupa</t>
  </si>
  <si>
    <t>Highway</t>
  </si>
  <si>
    <t>OUT OF POCKET COST</t>
  </si>
  <si>
    <t>CONSUMER SURPLUS BENEFIT</t>
  </si>
  <si>
    <t>($/trip)</t>
  </si>
  <si>
    <t>New</t>
  </si>
  <si>
    <t>(Induced)</t>
  </si>
  <si>
    <t>Net changes in transit operating costs should be included as project costs.</t>
  </si>
  <si>
    <t>Calculates changes in highway vehicle operating costs as benefits for highway and transit projects.</t>
  </si>
  <si>
    <t>Vehicle-Miles Traveled = Affected Length x Avg. Annual Volume</t>
  </si>
  <si>
    <t>Non-Fuel Cost = VMT x Cost Per Mile</t>
  </si>
  <si>
    <t>Benefit = Existing Cost - New Cost</t>
  </si>
  <si>
    <t>veh-miles/yr</t>
  </si>
  <si>
    <t>miles</t>
  </si>
  <si>
    <t>vehicles/yr</t>
  </si>
  <si>
    <t>dollars                         miles</t>
  </si>
  <si>
    <t>$/mile</t>
  </si>
  <si>
    <t>Fuel Cost = VMT x Fuel Consumption x Fuel Price</t>
  </si>
  <si>
    <t>Out-of-Pocket Cost = Trips x Cost Per Trip</t>
  </si>
  <si>
    <t>dollars</t>
  </si>
  <si>
    <t>gallons/mile</t>
  </si>
  <si>
    <t>dollars/gallon</t>
  </si>
  <si>
    <t>trips        $ / trip</t>
  </si>
  <si>
    <t>TOTAL VMT</t>
  </si>
  <si>
    <t>AVERAGE SPEED</t>
  </si>
  <si>
    <t>BENEFITS</t>
  </si>
  <si>
    <t>(veh-miles/yr)</t>
  </si>
  <si>
    <t>(veh-hrs/yr)</t>
  </si>
  <si>
    <t>(mph)</t>
  </si>
  <si>
    <t>(%)</t>
  </si>
  <si>
    <t>Adjusted</t>
  </si>
  <si>
    <t>Fuel</t>
  </si>
  <si>
    <t>Non-Fuel</t>
  </si>
  <si>
    <t>Out-of-Pocket Costs</t>
  </si>
  <si>
    <t>(Existing)</t>
  </si>
  <si>
    <t xml:space="preserve">NOTE, As a conservative assumptions Consumer Surplus was not included in the BCA calculations.  See the Consumer Surplus Tab in the CalBC workbook.  </t>
  </si>
  <si>
    <t>This would have added an additional $6.1 Million in benefits at the 7% discount rate.</t>
  </si>
  <si>
    <t>It is also NOT inlcuded in the CAL BC Final Calculations or Results summaries in the Cal BC workbooks.</t>
  </si>
  <si>
    <t>AUTOMOBILE BENEFITS</t>
  </si>
  <si>
    <t>AVERAGE VOLUME</t>
  </si>
  <si>
    <t>RECURRING DELAY RATE</t>
  </si>
  <si>
    <t>STANDARD DEVIATION</t>
  </si>
  <si>
    <t>RELIABILITY BENEFIT</t>
  </si>
  <si>
    <t>(vehicles/hour)</t>
  </si>
  <si>
    <t>(hrs/mi)</t>
  </si>
  <si>
    <t>OF TRAVEL TIME INDEX</t>
  </si>
  <si>
    <t>(person-hours/yr)</t>
  </si>
  <si>
    <t>(hours/vehicle)</t>
  </si>
  <si>
    <t>Avion</t>
  </si>
  <si>
    <t>B</t>
  </si>
  <si>
    <t>TRUCK BENEFITS</t>
  </si>
  <si>
    <t>SUMMARY OF TRAVEL TIME RELIABILITY BENEFITS</t>
  </si>
  <si>
    <t>Automobile</t>
  </si>
  <si>
    <t>Truck</t>
  </si>
  <si>
    <t>This sheet calculates emissions benefits for highway and transit.</t>
  </si>
  <si>
    <t>Transit Em Cost = (Veh-Miles x Rate x Cost/Mile) by Em Type</t>
  </si>
  <si>
    <t>dollars/yr</t>
  </si>
  <si>
    <t>dollars/veh-mile</t>
  </si>
  <si>
    <t xml:space="preserve"> Hwy Emissions Cost = (VMT x Rate x Cost/Mile) by Emissions Type</t>
  </si>
  <si>
    <t>HIGHWAY</t>
  </si>
  <si>
    <t>TOTAL PMT</t>
  </si>
  <si>
    <t>RUNNING EMISSIONS</t>
  </si>
  <si>
    <t>STARTING EMISSIONS</t>
  </si>
  <si>
    <t>(pers-miles/yr)</t>
  </si>
  <si>
    <t>(pers-hrs/yr)</t>
  </si>
  <si>
    <t>(vehicles/yr)</t>
  </si>
  <si>
    <t>SUMMARY OF EMISSION REDUCTION BENEFITS</t>
  </si>
  <si>
    <t>Emission</t>
  </si>
  <si>
    <t>This sheet calculates accident cost benefits on highway and transit</t>
  </si>
  <si>
    <t>Fatalities = (Vehicle-Miles Traveled * Fatal Accident Rate / 10^6)*Conversion Factor</t>
  </si>
  <si>
    <t>events/yr</t>
  </si>
  <si>
    <t>accidents/mvmt</t>
  </si>
  <si>
    <t>events/accident</t>
  </si>
  <si>
    <t>Injuries = (Vehicle-Miles Traveled * Injury Accident Rate / 10^6)*Conversion Factor</t>
  </si>
  <si>
    <t>PDOs = (Vehicle-Miles Traveled * PDO Accident Rate / 10^6)*Conversion Factor</t>
  </si>
  <si>
    <t xml:space="preserve">    veh-miles/yr</t>
  </si>
  <si>
    <t>Fatal Cost Savings = (Existing Fatalities - New Fatalities) * Fatality Cost</t>
  </si>
  <si>
    <t>Injury Cost Savings = (Existing Injuries - New Injuries) * Injury Cost</t>
  </si>
  <si>
    <t>dollars/event</t>
  </si>
  <si>
    <t>PDO Cost Savings = (Existing PDO  - New PDO) * PDO Cost</t>
  </si>
  <si>
    <t>Accident Cost Savings = Fatal Cost Savings + Injury Cost Savings + PDO Cost Savings</t>
  </si>
  <si>
    <t>TOTAL FATALITIES</t>
  </si>
  <si>
    <t>TOTAL INJURIES</t>
  </si>
  <si>
    <t>TOTAL VEHICLES DAMAGED</t>
  </si>
  <si>
    <t>ACCIDENT BENEFITS</t>
  </si>
  <si>
    <t>(events/yr)</t>
  </si>
  <si>
    <t>Fatality Cost</t>
  </si>
  <si>
    <t>Injury Cost</t>
  </si>
  <si>
    <t>Property Damage Cost</t>
  </si>
  <si>
    <t>Fatalities</t>
  </si>
  <si>
    <t>Injuries</t>
  </si>
  <si>
    <t>Accident Cost</t>
  </si>
  <si>
    <t>Avoided</t>
  </si>
  <si>
    <t xml:space="preserve">* Realignment of the E. Avion &amp; Jurupa Streets.
* New Road Length is 1.04 miles
* Straightening of the road alignment removing the 90 degree turns.
* Improvement of the road and bridge pavement condition from failing to excellent.
* Addition of traffic signals and pedestrian crosswalks to improve safety conditions
* Increase in average speeds to 35 mph
* Shift of 6 flights a day from LAX to Ontario Airports
* Static number of truck trips serving the 6 flights at 51 trips per day but an increase in truck vehicle mils travelled to 2,333 (due to more customers being served by the centrally located Ontario Airport location).  
*A major R&amp;R at year 15 was also included.
</t>
  </si>
  <si>
    <t xml:space="preserve">Savings in operating and maintenance costs to owners of the road and its right of way.  
Additional benefits to auto and commercial users from wear and tear on their vehicles are not included in the calculations.
</t>
  </si>
  <si>
    <t>*Cost figures may deviate slightly from project narrative due to timing of BCA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</si>
</sst>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quot;$&quot;#,##0\)"/>
    <numFmt numFmtId="166" formatCode="#0.0"/>
    <numFmt numFmtId="167" formatCode="&quot;$&quot;#,##0"/>
    <numFmt numFmtId="168" formatCode="0.0"/>
    <numFmt numFmtId="169" formatCode="#0.000"/>
    <numFmt numFmtId="170" formatCode="&quot;$&quot;#,##0.00"/>
    <numFmt numFmtId="171" formatCode="_(* #,##0_);_(* \(#,##0\);_(* &quot;-&quot;??_);_(@_)"/>
    <numFmt numFmtId="172" formatCode="&quot;$&quot;#,##0.0;\-&quot;$&quot;#,##0.0"/>
    <numFmt numFmtId="173" formatCode="0.00000"/>
    <numFmt numFmtId="174" formatCode="0_)"/>
    <numFmt numFmtId="175" formatCode="0.0%"/>
    <numFmt numFmtId="176" formatCode="0_);\(0\)"/>
    <numFmt numFmtId="177" formatCode="#,##0.0_);[Red]\(#,##0.0\)"/>
    <numFmt numFmtId="178" formatCode="#,##0.000_);[Red]\(#,##0.000\)"/>
  </numFmts>
  <fonts count="50" x14ac:knownFonts="1">
    <font>
      <sz val="12"/>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4"/>
      <color theme="1"/>
      <name val="Times New Roman"/>
      <family val="1"/>
    </font>
    <font>
      <b/>
      <sz val="12"/>
      <color theme="1"/>
      <name val="Times New Roman"/>
      <family val="1"/>
    </font>
    <font>
      <b/>
      <sz val="12"/>
      <name val="Times New Roman"/>
      <family val="1"/>
    </font>
    <font>
      <sz val="10"/>
      <name val="Arial"/>
      <family val="2"/>
    </font>
    <font>
      <sz val="11"/>
      <name val="Arial Narrow"/>
      <family val="2"/>
    </font>
    <font>
      <sz val="12"/>
      <color theme="1"/>
      <name val="Calibri"/>
      <family val="2"/>
      <scheme val="minor"/>
    </font>
    <font>
      <b/>
      <sz val="12"/>
      <color theme="1"/>
      <name val="Calibri"/>
      <family val="2"/>
      <scheme val="minor"/>
    </font>
    <font>
      <b/>
      <sz val="12"/>
      <color indexed="8"/>
      <name val="Arial"/>
      <family val="2"/>
    </font>
    <font>
      <b/>
      <sz val="10"/>
      <color indexed="8"/>
      <name val="Arial"/>
      <family val="2"/>
    </font>
    <font>
      <sz val="10"/>
      <color indexed="8"/>
      <name val="Arial"/>
      <family val="2"/>
    </font>
    <font>
      <b/>
      <sz val="10"/>
      <name val="Arial"/>
      <family val="2"/>
    </font>
    <font>
      <u/>
      <sz val="12"/>
      <color theme="10"/>
      <name val="Calibri"/>
      <family val="2"/>
      <scheme val="minor"/>
    </font>
    <font>
      <sz val="11"/>
      <color indexed="8"/>
      <name val="Calibri"/>
      <family val="2"/>
      <scheme val="minor"/>
    </font>
    <font>
      <sz val="10"/>
      <color indexed="8"/>
      <name val="Arial"/>
      <family val="2"/>
    </font>
    <font>
      <b/>
      <sz val="10"/>
      <color indexed="8"/>
      <name val="Arial"/>
      <family val="2"/>
    </font>
    <font>
      <b/>
      <sz val="11"/>
      <color theme="0"/>
      <name val="Calibri"/>
      <family val="2"/>
      <scheme val="minor"/>
    </font>
    <font>
      <sz val="11"/>
      <color theme="0"/>
      <name val="Calibri"/>
      <family val="2"/>
      <scheme val="minor"/>
    </font>
    <font>
      <sz val="11"/>
      <name val="Calibri"/>
      <family val="2"/>
      <scheme val="minor"/>
    </font>
    <font>
      <sz val="12"/>
      <color rgb="FF000000"/>
      <name val="Calibri"/>
      <family val="2"/>
      <scheme val="minor"/>
    </font>
    <font>
      <sz val="12"/>
      <color rgb="FF202124"/>
      <name val="Roboto"/>
    </font>
    <font>
      <b/>
      <sz val="18"/>
      <color rgb="FFC10F35"/>
      <name val="Roboto"/>
    </font>
    <font>
      <sz val="12"/>
      <color theme="1"/>
      <name val="Lato"/>
      <family val="2"/>
    </font>
    <font>
      <sz val="12"/>
      <color rgb="FF444444"/>
      <name val="Lato"/>
      <family val="2"/>
    </font>
    <font>
      <b/>
      <sz val="18"/>
      <color theme="1"/>
      <name val="Calibri"/>
      <family val="2"/>
      <scheme val="minor"/>
    </font>
    <font>
      <b/>
      <sz val="12"/>
      <color rgb="FF000000"/>
      <name val="Calibri"/>
      <family val="2"/>
      <scheme val="minor"/>
    </font>
    <font>
      <sz val="11"/>
      <color rgb="FF333333"/>
      <name val="Tahoma"/>
      <family val="2"/>
    </font>
    <font>
      <u/>
      <sz val="18"/>
      <color rgb="FF000000"/>
      <name val="Calibri"/>
      <family val="2"/>
      <scheme val="minor"/>
    </font>
    <font>
      <b/>
      <sz val="12"/>
      <color rgb="FFFF0000"/>
      <name val="Calibri"/>
      <family val="2"/>
      <scheme val="minor"/>
    </font>
    <font>
      <strike/>
      <sz val="12"/>
      <color theme="1"/>
      <name val="Calibri"/>
      <family val="2"/>
      <scheme val="minor"/>
    </font>
    <font>
      <b/>
      <strike/>
      <sz val="12"/>
      <color theme="1"/>
      <name val="Calibri"/>
      <family val="2"/>
      <scheme val="minor"/>
    </font>
    <font>
      <b/>
      <i/>
      <sz val="14"/>
      <color indexed="56"/>
      <name val="Arial"/>
      <family val="2"/>
    </font>
    <font>
      <i/>
      <sz val="10"/>
      <color indexed="56"/>
      <name val="Arial"/>
      <family val="2"/>
    </font>
    <font>
      <sz val="8.5"/>
      <name val="Arial"/>
      <family val="2"/>
    </font>
    <font>
      <b/>
      <sz val="12"/>
      <color indexed="16"/>
      <name val="Arial"/>
      <family val="2"/>
    </font>
    <font>
      <sz val="8"/>
      <name val="Arial"/>
      <family val="2"/>
    </font>
    <font>
      <b/>
      <sz val="10"/>
      <color indexed="16"/>
      <name val="Arial"/>
      <family val="2"/>
    </font>
    <font>
      <sz val="11"/>
      <color indexed="25"/>
      <name val="Arial"/>
      <family val="2"/>
    </font>
    <font>
      <b/>
      <sz val="11"/>
      <color indexed="16"/>
      <name val="Arial"/>
      <family val="2"/>
    </font>
    <font>
      <b/>
      <i/>
      <sz val="9"/>
      <name val="Arial"/>
      <family val="2"/>
    </font>
    <font>
      <b/>
      <sz val="10"/>
      <color indexed="25"/>
      <name val="Arial"/>
      <family val="2"/>
    </font>
    <font>
      <sz val="11"/>
      <color rgb="FFC00000"/>
      <name val="Arial"/>
      <family val="2"/>
    </font>
    <font>
      <sz val="10"/>
      <color indexed="16"/>
      <name val="Arial"/>
      <family val="2"/>
    </font>
    <font>
      <i/>
      <sz val="14"/>
      <color indexed="56"/>
      <name val="Arial"/>
      <family val="2"/>
    </font>
    <font>
      <b/>
      <sz val="14"/>
      <color indexed="62"/>
      <name val="Arial"/>
      <family val="2"/>
    </font>
    <font>
      <sz val="16"/>
      <color indexed="62"/>
      <name val="Arial"/>
      <family val="2"/>
    </font>
    <font>
      <b/>
      <sz val="12"/>
      <color rgb="FF800000"/>
      <name val="Arial"/>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00B0F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CC"/>
        <bgColor indexed="64"/>
      </patternFill>
    </fill>
    <fill>
      <patternFill patternType="solid">
        <fgColor rgb="FFC0C0C0"/>
        <bgColor indexed="64"/>
      </patternFill>
    </fill>
  </fills>
  <borders count="1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ck">
        <color indexed="8"/>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rgb="FFC6C6C6"/>
      </left>
      <right style="medium">
        <color rgb="FFC6C6C6"/>
      </right>
      <top style="medium">
        <color rgb="FFC6C6C6"/>
      </top>
      <bottom style="medium">
        <color rgb="FFC6C6C6"/>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rgb="FFCFCFCF"/>
      </left>
      <right style="medium">
        <color rgb="FFCFCFCF"/>
      </right>
      <top style="medium">
        <color rgb="FFDDDDDD"/>
      </top>
      <bottom style="medium">
        <color rgb="FFCFCFCF"/>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auto="1"/>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s>
  <cellStyleXfs count="24">
    <xf numFmtId="0" fontId="0" fillId="0" borderId="0"/>
    <xf numFmtId="0" fontId="1"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3"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7" fillId="0" borderId="0"/>
    <xf numFmtId="0" fontId="7" fillId="0" borderId="0"/>
    <xf numFmtId="0" fontId="7" fillId="0" borderId="0"/>
    <xf numFmtId="0" fontId="1" fillId="0" borderId="0"/>
    <xf numFmtId="0" fontId="8" fillId="0" borderId="0"/>
    <xf numFmtId="9" fontId="1"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7" fillId="0" borderId="0"/>
    <xf numFmtId="9" fontId="7" fillId="0" borderId="0" applyFont="0" applyFill="0" applyBorder="0" applyAlignment="0" applyProtection="0"/>
    <xf numFmtId="0" fontId="16" fillId="0" borderId="0"/>
    <xf numFmtId="0" fontId="7" fillId="0" borderId="0"/>
    <xf numFmtId="0" fontId="7" fillId="0" borderId="0"/>
    <xf numFmtId="43" fontId="9" fillId="0" borderId="0" applyFont="0" applyFill="0" applyBorder="0" applyAlignment="0" applyProtection="0"/>
  </cellStyleXfs>
  <cellXfs count="853">
    <xf numFmtId="0" fontId="0" fillId="0" borderId="0" xfId="0"/>
    <xf numFmtId="0" fontId="0" fillId="0" borderId="0" xfId="0" applyAlignment="1">
      <alignment vertical="top"/>
    </xf>
    <xf numFmtId="0" fontId="3" fillId="0" borderId="0" xfId="0" applyFont="1"/>
    <xf numFmtId="9" fontId="4" fillId="0" borderId="0" xfId="0" applyNumberFormat="1" applyFont="1"/>
    <xf numFmtId="0" fontId="3" fillId="0" borderId="0" xfId="0" applyFont="1" applyAlignment="1">
      <alignment horizontal="right"/>
    </xf>
    <xf numFmtId="9" fontId="0" fillId="0" borderId="0" xfId="0" applyNumberFormat="1" applyAlignment="1">
      <alignment vertical="top"/>
    </xf>
    <xf numFmtId="9" fontId="3" fillId="0" borderId="0" xfId="0" applyNumberFormat="1" applyFont="1"/>
    <xf numFmtId="0" fontId="5" fillId="0" borderId="0" xfId="0" applyFont="1" applyAlignment="1">
      <alignment horizontal="center"/>
    </xf>
    <xf numFmtId="6" fontId="3" fillId="0" borderId="0" xfId="0" applyNumberFormat="1" applyFont="1"/>
    <xf numFmtId="0" fontId="6" fillId="0" borderId="0" xfId="0" applyFont="1" applyAlignment="1">
      <alignment horizontal="center"/>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xf>
    <xf numFmtId="0" fontId="10" fillId="0" borderId="0" xfId="0" applyFont="1" applyAlignment="1">
      <alignment horizontal="center"/>
    </xf>
    <xf numFmtId="0" fontId="0" fillId="0" borderId="15" xfId="0" applyBorder="1" applyAlignment="1">
      <alignment horizontal="center"/>
    </xf>
    <xf numFmtId="0" fontId="10" fillId="0" borderId="11" xfId="0" applyFont="1" applyBorder="1" applyAlignment="1">
      <alignment horizontal="center" wrapText="1"/>
    </xf>
    <xf numFmtId="0" fontId="10" fillId="0" borderId="26" xfId="0" applyFont="1" applyBorder="1" applyAlignment="1">
      <alignment horizontal="center" wrapText="1"/>
    </xf>
    <xf numFmtId="164" fontId="0" fillId="0" borderId="18" xfId="15" applyNumberFormat="1" applyFont="1" applyBorder="1"/>
    <xf numFmtId="164" fontId="0" fillId="0" borderId="21" xfId="15" applyNumberFormat="1" applyFont="1" applyBorder="1"/>
    <xf numFmtId="164" fontId="0" fillId="0" borderId="22" xfId="15" applyNumberFormat="1" applyFont="1" applyBorder="1"/>
    <xf numFmtId="164" fontId="0" fillId="0" borderId="6" xfId="15" applyNumberFormat="1" applyFont="1" applyBorder="1"/>
    <xf numFmtId="164" fontId="0" fillId="0" borderId="7" xfId="15" applyNumberFormat="1" applyFont="1" applyBorder="1"/>
    <xf numFmtId="164" fontId="0" fillId="0" borderId="5" xfId="15" applyNumberFormat="1" applyFont="1" applyBorder="1"/>
    <xf numFmtId="164" fontId="0" fillId="0" borderId="8" xfId="15" applyNumberFormat="1" applyFont="1" applyBorder="1"/>
    <xf numFmtId="164" fontId="0" fillId="0" borderId="5" xfId="15" applyNumberFormat="1" applyFont="1" applyBorder="1" applyAlignment="1">
      <alignment horizontal="center"/>
    </xf>
    <xf numFmtId="0" fontId="10" fillId="0" borderId="20" xfId="0" applyFont="1" applyBorder="1" applyAlignment="1">
      <alignment horizontal="center" wrapText="1"/>
    </xf>
    <xf numFmtId="0" fontId="10" fillId="0" borderId="0" xfId="0" applyFont="1" applyAlignment="1">
      <alignment horizontal="center" wrapText="1"/>
    </xf>
    <xf numFmtId="0" fontId="10" fillId="0" borderId="0" xfId="0" applyFont="1" applyAlignment="1">
      <alignment horizontal="left"/>
    </xf>
    <xf numFmtId="0" fontId="10" fillId="0" borderId="0" xfId="0" applyFont="1"/>
    <xf numFmtId="164" fontId="0" fillId="0" borderId="0" xfId="0" applyNumberFormat="1"/>
    <xf numFmtId="164" fontId="0" fillId="0" borderId="19" xfId="15" applyNumberFormat="1" applyFont="1" applyBorder="1" applyAlignment="1">
      <alignment horizontal="center"/>
    </xf>
    <xf numFmtId="164" fontId="0" fillId="0" borderId="25" xfId="15" applyNumberFormat="1" applyFont="1" applyBorder="1"/>
    <xf numFmtId="164" fontId="0" fillId="0" borderId="11" xfId="15" applyNumberFormat="1" applyFont="1" applyBorder="1" applyAlignment="1">
      <alignment horizontal="center"/>
    </xf>
    <xf numFmtId="164" fontId="0" fillId="0" borderId="2" xfId="15" applyNumberFormat="1" applyFont="1" applyBorder="1"/>
    <xf numFmtId="0" fontId="1" fillId="0" borderId="0" xfId="1" applyAlignment="1">
      <alignment wrapText="1"/>
    </xf>
    <xf numFmtId="0" fontId="7" fillId="0" borderId="0" xfId="9"/>
    <xf numFmtId="0" fontId="12" fillId="0" borderId="0" xfId="9" applyFont="1" applyAlignment="1">
      <alignment horizontal="left" vertical="top" wrapText="1"/>
    </xf>
    <xf numFmtId="0" fontId="12" fillId="0" borderId="29" xfId="9" applyFont="1" applyBorder="1" applyAlignment="1">
      <alignment horizontal="center" wrapText="1"/>
    </xf>
    <xf numFmtId="166" fontId="7" fillId="0" borderId="0" xfId="9" applyNumberFormat="1"/>
    <xf numFmtId="0" fontId="15" fillId="0" borderId="0" xfId="17"/>
    <xf numFmtId="0" fontId="14" fillId="0" borderId="0" xfId="9" applyFont="1" applyAlignment="1">
      <alignment horizontal="left"/>
    </xf>
    <xf numFmtId="0" fontId="7" fillId="0" borderId="0" xfId="9" applyAlignment="1">
      <alignment horizontal="left"/>
    </xf>
    <xf numFmtId="0" fontId="7" fillId="0" borderId="0" xfId="9" applyAlignment="1">
      <alignment horizontal="center"/>
    </xf>
    <xf numFmtId="0" fontId="14" fillId="0" borderId="0" xfId="9" applyFont="1"/>
    <xf numFmtId="3" fontId="7" fillId="0" borderId="0" xfId="9" applyNumberFormat="1"/>
    <xf numFmtId="0" fontId="0" fillId="0" borderId="28" xfId="0" applyBorder="1"/>
    <xf numFmtId="164" fontId="0" fillId="0" borderId="35" xfId="15" applyNumberFormat="1" applyFont="1" applyBorder="1"/>
    <xf numFmtId="164" fontId="0" fillId="0" borderId="11" xfId="15" applyNumberFormat="1" applyFont="1" applyBorder="1"/>
    <xf numFmtId="0" fontId="0" fillId="0" borderId="22" xfId="0" applyBorder="1" applyAlignment="1">
      <alignment horizontal="center" wrapText="1"/>
    </xf>
    <xf numFmtId="0" fontId="0" fillId="0" borderId="4" xfId="0" applyBorder="1" applyAlignment="1">
      <alignment horizontal="center" wrapText="1"/>
    </xf>
    <xf numFmtId="6" fontId="0" fillId="0" borderId="0" xfId="0" applyNumberFormat="1"/>
    <xf numFmtId="0" fontId="2" fillId="0" borderId="0" xfId="0" applyFont="1"/>
    <xf numFmtId="0" fontId="10" fillId="0" borderId="6" xfId="0" applyFont="1" applyBorder="1" applyAlignment="1">
      <alignment horizontal="center" vertical="top" wrapText="1"/>
    </xf>
    <xf numFmtId="0" fontId="3" fillId="3" borderId="0" xfId="0" applyFont="1" applyFill="1"/>
    <xf numFmtId="0" fontId="0" fillId="3" borderId="0" xfId="0" applyFill="1" applyAlignment="1">
      <alignment vertical="top"/>
    </xf>
    <xf numFmtId="9" fontId="10" fillId="3" borderId="33" xfId="0" applyNumberFormat="1" applyFont="1" applyFill="1" applyBorder="1" applyAlignment="1">
      <alignment horizontal="center"/>
    </xf>
    <xf numFmtId="9" fontId="10" fillId="3" borderId="33" xfId="0" applyNumberFormat="1" applyFont="1" applyFill="1" applyBorder="1" applyAlignment="1">
      <alignment horizontal="center" vertical="top"/>
    </xf>
    <xf numFmtId="0" fontId="10" fillId="3" borderId="17" xfId="0" applyFont="1" applyFill="1" applyBorder="1" applyAlignment="1">
      <alignment horizontal="left" vertical="top"/>
    </xf>
    <xf numFmtId="0" fontId="10" fillId="3" borderId="14" xfId="0" applyFont="1" applyFill="1" applyBorder="1" applyAlignment="1">
      <alignment horizontal="left" vertical="top"/>
    </xf>
    <xf numFmtId="0" fontId="10" fillId="3" borderId="17" xfId="0" applyFont="1" applyFill="1" applyBorder="1" applyAlignment="1">
      <alignment vertical="top"/>
    </xf>
    <xf numFmtId="0" fontId="10" fillId="3" borderId="14" xfId="0" applyFont="1" applyFill="1" applyBorder="1" applyAlignment="1">
      <alignment vertical="top"/>
    </xf>
    <xf numFmtId="0" fontId="10" fillId="3" borderId="17" xfId="0" applyFont="1" applyFill="1" applyBorder="1" applyAlignment="1">
      <alignment horizontal="left" vertical="top" wrapText="1" indent="1"/>
    </xf>
    <xf numFmtId="0" fontId="10" fillId="3" borderId="17" xfId="0" applyFont="1" applyFill="1" applyBorder="1" applyAlignment="1">
      <alignment horizontal="left" vertical="center" wrapText="1" indent="1"/>
    </xf>
    <xf numFmtId="0" fontId="10" fillId="3" borderId="14" xfId="0" applyFont="1" applyFill="1" applyBorder="1" applyAlignment="1">
      <alignment vertical="top" wrapText="1"/>
    </xf>
    <xf numFmtId="0" fontId="10" fillId="3" borderId="17" xfId="0" applyFont="1" applyFill="1" applyBorder="1" applyAlignment="1">
      <alignment horizontal="left" vertical="center" indent="1"/>
    </xf>
    <xf numFmtId="0" fontId="0" fillId="3" borderId="17" xfId="0" applyFill="1" applyBorder="1"/>
    <xf numFmtId="0" fontId="7" fillId="0" borderId="6" xfId="9" applyBorder="1"/>
    <xf numFmtId="0" fontId="7" fillId="0" borderId="6" xfId="9" applyBorder="1" applyAlignment="1">
      <alignment horizontal="center"/>
    </xf>
    <xf numFmtId="10" fontId="0" fillId="0" borderId="0" xfId="16" applyNumberFormat="1" applyFont="1"/>
    <xf numFmtId="168" fontId="7" fillId="0" borderId="0" xfId="9" applyNumberFormat="1"/>
    <xf numFmtId="0" fontId="13" fillId="0" borderId="0" xfId="0" applyFont="1" applyAlignment="1">
      <alignment horizontal="right"/>
    </xf>
    <xf numFmtId="168" fontId="0" fillId="0" borderId="0" xfId="0" applyNumberFormat="1"/>
    <xf numFmtId="0" fontId="0" fillId="0" borderId="15" xfId="0" applyBorder="1" applyAlignment="1">
      <alignment horizontal="center" wrapText="1"/>
    </xf>
    <xf numFmtId="0" fontId="0" fillId="0" borderId="43" xfId="0" applyBorder="1" applyAlignment="1">
      <alignment horizontal="center"/>
    </xf>
    <xf numFmtId="0" fontId="10" fillId="0" borderId="4" xfId="0" applyFont="1" applyBorder="1" applyAlignment="1">
      <alignment horizontal="center" wrapText="1"/>
    </xf>
    <xf numFmtId="0" fontId="10" fillId="0" borderId="35" xfId="0" applyFont="1" applyBorder="1" applyAlignment="1">
      <alignment horizontal="center" wrapText="1"/>
    </xf>
    <xf numFmtId="0" fontId="0" fillId="0" borderId="13"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0" fillId="0" borderId="2" xfId="0" applyFont="1" applyBorder="1" applyAlignment="1">
      <alignment horizontal="center" wrapText="1"/>
    </xf>
    <xf numFmtId="164" fontId="0" fillId="0" borderId="26" xfId="15" applyNumberFormat="1" applyFont="1" applyBorder="1"/>
    <xf numFmtId="164" fontId="0" fillId="0" borderId="2" xfId="15" applyNumberFormat="1" applyFont="1" applyFill="1" applyBorder="1"/>
    <xf numFmtId="164" fontId="0" fillId="0" borderId="8" xfId="15" applyNumberFormat="1" applyFont="1" applyFill="1" applyBorder="1"/>
    <xf numFmtId="164" fontId="0" fillId="0" borderId="5" xfId="15" applyNumberFormat="1" applyFont="1" applyFill="1" applyBorder="1"/>
    <xf numFmtId="164" fontId="0" fillId="0" borderId="7" xfId="15" applyNumberFormat="1" applyFont="1" applyFill="1" applyBorder="1"/>
    <xf numFmtId="2" fontId="7" fillId="0" borderId="0" xfId="9" applyNumberFormat="1" applyAlignment="1">
      <alignment horizontal="center"/>
    </xf>
    <xf numFmtId="164" fontId="0" fillId="0" borderId="9" xfId="15" applyNumberFormat="1" applyFont="1" applyBorder="1"/>
    <xf numFmtId="164" fontId="0" fillId="0" borderId="33" xfId="15" applyNumberFormat="1" applyFont="1" applyBorder="1"/>
    <xf numFmtId="0" fontId="0" fillId="0" borderId="22" xfId="0" applyBorder="1" applyAlignment="1">
      <alignment horizontal="center"/>
    </xf>
    <xf numFmtId="0" fontId="10" fillId="0" borderId="7" xfId="0" applyFont="1" applyBorder="1" applyAlignment="1">
      <alignment horizontal="center" wrapText="1"/>
    </xf>
    <xf numFmtId="164" fontId="0" fillId="0" borderId="6" xfId="15" applyNumberFormat="1" applyFont="1" applyFill="1" applyBorder="1"/>
    <xf numFmtId="164" fontId="0" fillId="0" borderId="48" xfId="15" applyNumberFormat="1" applyFont="1" applyFill="1" applyBorder="1"/>
    <xf numFmtId="164" fontId="0" fillId="0" borderId="18" xfId="15" applyNumberFormat="1" applyFont="1" applyFill="1" applyBorder="1"/>
    <xf numFmtId="164" fontId="0" fillId="0" borderId="10" xfId="15" applyNumberFormat="1" applyFont="1" applyFill="1" applyBorder="1"/>
    <xf numFmtId="164" fontId="0" fillId="0" borderId="33" xfId="15" applyNumberFormat="1" applyFont="1" applyFill="1" applyBorder="1"/>
    <xf numFmtId="164" fontId="0" fillId="0" borderId="9" xfId="15" applyNumberFormat="1" applyFont="1" applyFill="1" applyBorder="1"/>
    <xf numFmtId="164" fontId="0" fillId="0" borderId="22" xfId="15" applyNumberFormat="1" applyFont="1" applyFill="1" applyBorder="1"/>
    <xf numFmtId="0" fontId="0" fillId="0" borderId="4" xfId="0" applyBorder="1"/>
    <xf numFmtId="164" fontId="0" fillId="0" borderId="14" xfId="15" applyNumberFormat="1" applyFont="1" applyFill="1" applyBorder="1"/>
    <xf numFmtId="167" fontId="0" fillId="0" borderId="6" xfId="0" applyNumberFormat="1" applyBorder="1" applyAlignment="1">
      <alignment horizontal="left" vertical="center"/>
    </xf>
    <xf numFmtId="167" fontId="0" fillId="0" borderId="6" xfId="0" applyNumberFormat="1" applyBorder="1" applyAlignment="1">
      <alignment vertical="center"/>
    </xf>
    <xf numFmtId="0" fontId="0" fillId="0" borderId="6" xfId="0" applyBorder="1" applyAlignment="1">
      <alignment horizontal="left" vertical="top"/>
    </xf>
    <xf numFmtId="9" fontId="10" fillId="0" borderId="6" xfId="0" applyNumberFormat="1" applyFont="1" applyBorder="1" applyAlignment="1">
      <alignment horizontal="left" vertical="top"/>
    </xf>
    <xf numFmtId="0" fontId="16" fillId="0" borderId="0" xfId="20"/>
    <xf numFmtId="0" fontId="18" fillId="0" borderId="52" xfId="20" applyFont="1" applyFill="1" applyBorder="1" applyAlignment="1">
      <alignment horizontal="center" wrapText="1"/>
    </xf>
    <xf numFmtId="0" fontId="18" fillId="0" borderId="0" xfId="20" applyFont="1" applyFill="1" applyAlignment="1">
      <alignment horizontal="left"/>
    </xf>
    <xf numFmtId="169" fontId="17" fillId="0" borderId="0" xfId="20" applyNumberFormat="1" applyFont="1" applyFill="1" applyAlignment="1">
      <alignment horizontal="right"/>
    </xf>
    <xf numFmtId="164" fontId="0" fillId="0" borderId="44" xfId="15" applyNumberFormat="1" applyFont="1" applyFill="1" applyBorder="1"/>
    <xf numFmtId="164" fontId="0" fillId="0" borderId="4" xfId="15" applyNumberFormat="1" applyFont="1" applyFill="1" applyBorder="1"/>
    <xf numFmtId="164" fontId="0" fillId="0" borderId="23" xfId="15" applyNumberFormat="1" applyFont="1" applyFill="1" applyBorder="1"/>
    <xf numFmtId="164" fontId="0" fillId="0" borderId="15" xfId="15" applyNumberFormat="1" applyFont="1" applyFill="1" applyBorder="1"/>
    <xf numFmtId="9" fontId="0" fillId="0" borderId="25" xfId="0" applyNumberFormat="1" applyBorder="1" applyAlignment="1">
      <alignment horizontal="center" wrapText="1"/>
    </xf>
    <xf numFmtId="9" fontId="9" fillId="0" borderId="11" xfId="16" applyFont="1" applyBorder="1" applyAlignment="1">
      <alignment horizontal="center"/>
    </xf>
    <xf numFmtId="0" fontId="0" fillId="0" borderId="0" xfId="0" applyNumberFormat="1" applyAlignment="1">
      <alignment horizontal="center" vertical="top"/>
    </xf>
    <xf numFmtId="0" fontId="0" fillId="0" borderId="6" xfId="0" applyNumberFormat="1" applyBorder="1" applyAlignment="1">
      <alignment horizontal="center" vertical="top"/>
    </xf>
    <xf numFmtId="0" fontId="0" fillId="0" borderId="6" xfId="0" applyBorder="1" applyAlignment="1">
      <alignment vertical="top"/>
    </xf>
    <xf numFmtId="0" fontId="10" fillId="0" borderId="54" xfId="0" applyFont="1" applyBorder="1" applyAlignment="1">
      <alignment horizontal="center" wrapText="1"/>
    </xf>
    <xf numFmtId="0" fontId="2" fillId="0" borderId="57" xfId="0" applyFont="1" applyBorder="1" applyAlignment="1">
      <alignment horizontal="left" wrapText="1"/>
    </xf>
    <xf numFmtId="0" fontId="0" fillId="0" borderId="50" xfId="0" quotePrefix="1" applyNumberFormat="1" applyBorder="1" applyAlignment="1">
      <alignment horizontal="center" wrapText="1"/>
    </xf>
    <xf numFmtId="164" fontId="0" fillId="0" borderId="16" xfId="15" applyNumberFormat="1" applyFont="1" applyBorder="1"/>
    <xf numFmtId="164" fontId="0" fillId="0" borderId="23" xfId="15" applyNumberFormat="1" applyFont="1" applyBorder="1"/>
    <xf numFmtId="164" fontId="0" fillId="0" borderId="15" xfId="15" applyNumberFormat="1" applyFont="1" applyBorder="1"/>
    <xf numFmtId="164" fontId="0" fillId="0" borderId="43" xfId="15" applyNumberFormat="1" applyFont="1" applyBorder="1"/>
    <xf numFmtId="164" fontId="0" fillId="0" borderId="49" xfId="15" applyNumberFormat="1" applyFont="1" applyBorder="1"/>
    <xf numFmtId="164" fontId="0" fillId="0" borderId="60" xfId="15" applyNumberFormat="1" applyFont="1" applyFill="1" applyBorder="1"/>
    <xf numFmtId="164" fontId="0" fillId="0" borderId="23" xfId="15" applyNumberFormat="1" applyFont="1" applyBorder="1" applyAlignment="1">
      <alignment horizontal="center"/>
    </xf>
    <xf numFmtId="164" fontId="0" fillId="0" borderId="16" xfId="15" applyNumberFormat="1" applyFont="1" applyFill="1" applyBorder="1"/>
    <xf numFmtId="164" fontId="0" fillId="0" borderId="43" xfId="15" applyNumberFormat="1" applyFont="1" applyFill="1" applyBorder="1"/>
    <xf numFmtId="164" fontId="0" fillId="0" borderId="49" xfId="15" applyNumberFormat="1" applyFont="1" applyFill="1" applyBorder="1"/>
    <xf numFmtId="0" fontId="10" fillId="0" borderId="25" xfId="0" applyFont="1" applyBorder="1" applyAlignment="1">
      <alignment horizontal="center" wrapText="1"/>
    </xf>
    <xf numFmtId="164" fontId="0" fillId="0" borderId="3" xfId="15" applyNumberFormat="1" applyFont="1" applyBorder="1"/>
    <xf numFmtId="164" fontId="0" fillId="0" borderId="56" xfId="15" applyNumberFormat="1" applyFont="1" applyBorder="1" applyAlignment="1">
      <alignment horizontal="center"/>
    </xf>
    <xf numFmtId="8" fontId="0" fillId="0" borderId="0" xfId="0" applyNumberFormat="1"/>
    <xf numFmtId="2" fontId="0" fillId="0" borderId="6" xfId="0" applyNumberFormat="1" applyBorder="1" applyAlignment="1">
      <alignment vertical="center"/>
    </xf>
    <xf numFmtId="0" fontId="0" fillId="0" borderId="0" xfId="0" applyAlignment="1">
      <alignment horizontal="center"/>
    </xf>
    <xf numFmtId="164" fontId="0" fillId="0" borderId="19" xfId="15" applyNumberFormat="1" applyFont="1" applyFill="1" applyBorder="1"/>
    <xf numFmtId="0" fontId="10" fillId="0" borderId="47" xfId="0" applyFont="1" applyBorder="1" applyAlignment="1">
      <alignment horizontal="center" wrapText="1"/>
    </xf>
    <xf numFmtId="0" fontId="0" fillId="0" borderId="21" xfId="0" applyBorder="1" applyAlignment="1">
      <alignment horizontal="center" wrapText="1"/>
    </xf>
    <xf numFmtId="0" fontId="2" fillId="0" borderId="0" xfId="0" applyFont="1" applyAlignment="1">
      <alignment horizontal="center" vertical="center"/>
    </xf>
    <xf numFmtId="6" fontId="0" fillId="0" borderId="22" xfId="0" applyNumberFormat="1" applyBorder="1" applyAlignment="1">
      <alignment horizontal="center" vertical="center"/>
    </xf>
    <xf numFmtId="164" fontId="0" fillId="0" borderId="22" xfId="15" applyNumberFormat="1" applyFont="1" applyBorder="1" applyAlignment="1">
      <alignment horizontal="center" vertical="center"/>
    </xf>
    <xf numFmtId="164" fontId="0" fillId="0" borderId="6" xfId="15" applyNumberFormat="1" applyFont="1" applyBorder="1" applyAlignment="1">
      <alignment horizontal="center" vertical="center"/>
    </xf>
    <xf numFmtId="0" fontId="0" fillId="0" borderId="48" xfId="0" applyBorder="1"/>
    <xf numFmtId="164" fontId="0" fillId="0" borderId="18" xfId="15" applyNumberFormat="1" applyFont="1" applyBorder="1" applyAlignment="1">
      <alignment horizontal="center" vertical="center"/>
    </xf>
    <xf numFmtId="0" fontId="0" fillId="0" borderId="10" xfId="0" applyBorder="1"/>
    <xf numFmtId="0" fontId="0" fillId="0" borderId="0" xfId="0" applyAlignment="1">
      <alignment horizontal="center" vertical="center" wrapText="1"/>
    </xf>
    <xf numFmtId="0" fontId="0" fillId="0" borderId="0" xfId="0" applyAlignment="1">
      <alignment vertical="center"/>
    </xf>
    <xf numFmtId="0" fontId="20" fillId="0" borderId="0" xfId="0" applyFont="1" applyAlignment="1">
      <alignment vertical="center"/>
    </xf>
    <xf numFmtId="0" fontId="0" fillId="0" borderId="0" xfId="0" applyAlignment="1">
      <alignment horizontal="left" vertical="center"/>
    </xf>
    <xf numFmtId="0" fontId="0" fillId="0" borderId="0" xfId="0" applyAlignment="1">
      <alignment horizontal="center"/>
    </xf>
    <xf numFmtId="0" fontId="0" fillId="0" borderId="6" xfId="0" applyBorder="1" applyAlignment="1">
      <alignment horizontal="center" vertical="top"/>
    </xf>
    <xf numFmtId="0" fontId="10" fillId="0" borderId="6" xfId="0" applyFont="1" applyBorder="1" applyAlignment="1">
      <alignment horizontal="right" vertical="top"/>
    </xf>
    <xf numFmtId="164" fontId="10" fillId="0" borderId="6" xfId="0" applyNumberFormat="1" applyFont="1" applyBorder="1" applyAlignment="1">
      <alignment horizontal="center" vertical="top"/>
    </xf>
    <xf numFmtId="0" fontId="0" fillId="0" borderId="6" xfId="0" applyBorder="1" applyAlignment="1">
      <alignment vertical="top" wrapText="1"/>
    </xf>
    <xf numFmtId="164" fontId="0" fillId="0" borderId="6" xfId="0" applyNumberFormat="1" applyBorder="1" applyAlignment="1">
      <alignment horizontal="center" vertical="top"/>
    </xf>
    <xf numFmtId="0" fontId="0" fillId="0" borderId="0" xfId="0" applyBorder="1" applyAlignment="1">
      <alignment vertical="top" wrapText="1"/>
    </xf>
    <xf numFmtId="0" fontId="0" fillId="0" borderId="6" xfId="0" quotePrefix="1" applyBorder="1" applyAlignment="1">
      <alignment horizontal="center" vertical="top"/>
    </xf>
    <xf numFmtId="0" fontId="0" fillId="0" borderId="0" xfId="0"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64" xfId="0" applyFont="1" applyBorder="1" applyAlignment="1">
      <alignment vertical="top" wrapText="1"/>
    </xf>
    <xf numFmtId="0" fontId="26" fillId="0" borderId="64" xfId="0" applyFont="1" applyBorder="1" applyAlignment="1">
      <alignment vertical="top" wrapText="1"/>
    </xf>
    <xf numFmtId="0" fontId="26" fillId="0" borderId="64" xfId="0" applyFont="1" applyBorder="1" applyAlignment="1">
      <alignment horizontal="left" vertical="top" wrapText="1"/>
    </xf>
    <xf numFmtId="0" fontId="15" fillId="0" borderId="0" xfId="17" applyAlignment="1">
      <alignment vertical="center" wrapText="1"/>
    </xf>
    <xf numFmtId="0" fontId="0" fillId="0" borderId="6" xfId="0" applyBorder="1" applyAlignment="1">
      <alignment horizontal="left" vertical="top" wrapText="1"/>
    </xf>
    <xf numFmtId="0" fontId="0" fillId="0" borderId="61" xfId="0" quotePrefix="1" applyNumberFormat="1" applyBorder="1" applyAlignment="1">
      <alignment horizontal="center" wrapText="1"/>
    </xf>
    <xf numFmtId="0" fontId="0" fillId="0" borderId="38" xfId="0" quotePrefix="1" applyNumberFormat="1" applyBorder="1" applyAlignment="1">
      <alignment horizontal="center" wrapText="1"/>
    </xf>
    <xf numFmtId="0" fontId="0" fillId="0" borderId="51" xfId="0" quotePrefix="1" applyNumberFormat="1" applyBorder="1" applyAlignment="1">
      <alignment horizontal="center" wrapText="1"/>
    </xf>
    <xf numFmtId="0" fontId="10" fillId="0" borderId="9" xfId="0" applyFont="1" applyBorder="1" applyAlignment="1">
      <alignment horizontal="center" wrapText="1"/>
    </xf>
    <xf numFmtId="0" fontId="28" fillId="0" borderId="9" xfId="0" applyFont="1" applyBorder="1" applyAlignment="1">
      <alignment horizontal="center" wrapText="1"/>
    </xf>
    <xf numFmtId="0" fontId="0" fillId="0" borderId="39" xfId="0" quotePrefix="1" applyNumberFormat="1" applyBorder="1" applyAlignment="1">
      <alignment horizontal="center" wrapText="1"/>
    </xf>
    <xf numFmtId="0" fontId="0" fillId="0" borderId="31" xfId="0" quotePrefix="1" applyNumberFormat="1" applyBorder="1" applyAlignment="1">
      <alignment horizontal="center" wrapText="1"/>
    </xf>
    <xf numFmtId="164" fontId="0" fillId="0" borderId="4" xfId="15" applyNumberFormat="1" applyFont="1" applyBorder="1"/>
    <xf numFmtId="164" fontId="0" fillId="0" borderId="18" xfId="15" applyNumberFormat="1" applyFont="1" applyBorder="1" applyAlignment="1">
      <alignment horizontal="center"/>
    </xf>
    <xf numFmtId="164" fontId="0" fillId="0" borderId="10" xfId="15" applyNumberFormat="1" applyFont="1" applyBorder="1" applyAlignment="1">
      <alignment horizontal="center"/>
    </xf>
    <xf numFmtId="0" fontId="10" fillId="0" borderId="65" xfId="0" applyFont="1" applyBorder="1"/>
    <xf numFmtId="0" fontId="0" fillId="0" borderId="42" xfId="0" applyBorder="1"/>
    <xf numFmtId="0" fontId="10" fillId="0" borderId="0" xfId="0" applyFont="1" applyBorder="1" applyAlignment="1">
      <alignment horizontal="center" wrapText="1"/>
    </xf>
    <xf numFmtId="0" fontId="10" fillId="0" borderId="63" xfId="0" applyFont="1" applyBorder="1" applyAlignment="1">
      <alignment horizontal="left"/>
    </xf>
    <xf numFmtId="0" fontId="10" fillId="0" borderId="28" xfId="0" applyFont="1" applyBorder="1" applyAlignment="1">
      <alignment horizontal="center" wrapText="1"/>
    </xf>
    <xf numFmtId="0" fontId="10" fillId="0" borderId="62" xfId="0" applyFont="1" applyBorder="1" applyAlignment="1">
      <alignment horizontal="left"/>
    </xf>
    <xf numFmtId="0" fontId="10" fillId="0" borderId="37" xfId="0" applyFont="1" applyBorder="1" applyAlignment="1">
      <alignment horizontal="center" vertical="top" wrapText="1"/>
    </xf>
    <xf numFmtId="0" fontId="0" fillId="0" borderId="24" xfId="0" applyBorder="1" applyAlignment="1">
      <alignment horizontal="center" wrapText="1"/>
    </xf>
    <xf numFmtId="164" fontId="0" fillId="0" borderId="17" xfId="15" applyNumberFormat="1" applyFont="1" applyFill="1" applyBorder="1"/>
    <xf numFmtId="164" fontId="0" fillId="0" borderId="12" xfId="15" applyNumberFormat="1" applyFont="1" applyFill="1" applyBorder="1"/>
    <xf numFmtId="164" fontId="0" fillId="0" borderId="24" xfId="15" applyNumberFormat="1" applyFont="1" applyFill="1" applyBorder="1"/>
    <xf numFmtId="164" fontId="0" fillId="0" borderId="30" xfId="15" applyNumberFormat="1" applyFont="1" applyFill="1" applyBorder="1"/>
    <xf numFmtId="164" fontId="0" fillId="0" borderId="45" xfId="15" applyNumberFormat="1" applyFont="1" applyFill="1" applyBorder="1"/>
    <xf numFmtId="0" fontId="10" fillId="0" borderId="6" xfId="0" applyFont="1" applyBorder="1" applyAlignment="1">
      <alignment horizontal="center" vertical="top"/>
    </xf>
    <xf numFmtId="0" fontId="25" fillId="0" borderId="0" xfId="0" applyFont="1" applyBorder="1" applyAlignment="1">
      <alignment vertical="top" wrapText="1"/>
    </xf>
    <xf numFmtId="0" fontId="26" fillId="0" borderId="0" xfId="0" applyFont="1" applyBorder="1" applyAlignment="1">
      <alignment vertical="top" wrapText="1"/>
    </xf>
    <xf numFmtId="0" fontId="10" fillId="2" borderId="6" xfId="0" applyFont="1" applyFill="1" applyBorder="1" applyAlignment="1">
      <alignment horizontal="center" wrapText="1"/>
    </xf>
    <xf numFmtId="0" fontId="0" fillId="0" borderId="0" xfId="0" applyAlignment="1">
      <alignment horizontal="center"/>
    </xf>
    <xf numFmtId="0" fontId="0" fillId="0" borderId="6" xfId="0" applyBorder="1" applyAlignment="1">
      <alignment horizontal="center" vertical="top" wrapText="1"/>
    </xf>
    <xf numFmtId="0" fontId="0" fillId="0" borderId="6" xfId="0" applyBorder="1" applyAlignment="1">
      <alignment horizontal="center" vertical="top"/>
    </xf>
    <xf numFmtId="0" fontId="0" fillId="0" borderId="38" xfId="0" applyBorder="1" applyAlignment="1">
      <alignment horizontal="center"/>
    </xf>
    <xf numFmtId="49" fontId="27" fillId="0" borderId="46" xfId="0" applyNumberFormat="1" applyFont="1" applyBorder="1" applyAlignment="1">
      <alignment horizontal="center" vertical="center" textRotation="90" wrapText="1"/>
    </xf>
    <xf numFmtId="49" fontId="27" fillId="0" borderId="66" xfId="0" applyNumberFormat="1" applyFont="1" applyBorder="1" applyAlignment="1">
      <alignment horizontal="center" vertical="center" textRotation="90" wrapText="1"/>
    </xf>
    <xf numFmtId="164" fontId="0" fillId="0" borderId="6" xfId="15" applyNumberFormat="1" applyFont="1" applyFill="1" applyBorder="1" applyAlignment="1">
      <alignment vertical="top"/>
    </xf>
    <xf numFmtId="0" fontId="29" fillId="9" borderId="71" xfId="0" applyFont="1" applyFill="1" applyBorder="1" applyAlignment="1">
      <alignment horizontal="left" vertical="top" wrapText="1"/>
    </xf>
    <xf numFmtId="0" fontId="10" fillId="0" borderId="34" xfId="0" applyFont="1" applyBorder="1" applyAlignment="1">
      <alignment horizontal="center" wrapText="1"/>
    </xf>
    <xf numFmtId="0" fontId="10" fillId="0" borderId="56" xfId="0" applyFont="1" applyBorder="1" applyAlignment="1">
      <alignment horizontal="center" wrapText="1"/>
    </xf>
    <xf numFmtId="49" fontId="27" fillId="0" borderId="46" xfId="0" applyNumberFormat="1" applyFont="1" applyBorder="1" applyAlignment="1">
      <alignment vertical="center" textRotation="90" wrapText="1"/>
    </xf>
    <xf numFmtId="49" fontId="27" fillId="0" borderId="47" xfId="0" applyNumberFormat="1" applyFont="1" applyBorder="1" applyAlignment="1">
      <alignment vertical="center" textRotation="90" wrapText="1"/>
    </xf>
    <xf numFmtId="0" fontId="0" fillId="0" borderId="32" xfId="0" quotePrefix="1" applyNumberFormat="1" applyBorder="1" applyAlignment="1">
      <alignment horizontal="center" wrapText="1"/>
    </xf>
    <xf numFmtId="0" fontId="0" fillId="0" borderId="73" xfId="0" applyBorder="1" applyAlignment="1">
      <alignment horizontal="center" wrapText="1"/>
    </xf>
    <xf numFmtId="164" fontId="0" fillId="0" borderId="74" xfId="15" applyNumberFormat="1" applyFont="1" applyFill="1" applyBorder="1"/>
    <xf numFmtId="164" fontId="0" fillId="0" borderId="72" xfId="15" applyNumberFormat="1" applyFont="1" applyFill="1" applyBorder="1"/>
    <xf numFmtId="164" fontId="0" fillId="0" borderId="73" xfId="15" applyNumberFormat="1" applyFont="1" applyFill="1" applyBorder="1"/>
    <xf numFmtId="0" fontId="10" fillId="0" borderId="36" xfId="0" applyFont="1" applyBorder="1"/>
    <xf numFmtId="0" fontId="10" fillId="0" borderId="70" xfId="0" applyFont="1" applyBorder="1" applyAlignment="1">
      <alignment horizontal="center" wrapText="1"/>
    </xf>
    <xf numFmtId="0" fontId="0" fillId="0" borderId="1" xfId="0" applyBorder="1"/>
    <xf numFmtId="0" fontId="0" fillId="0" borderId="62" xfId="0" applyBorder="1"/>
    <xf numFmtId="164" fontId="0" fillId="0" borderId="47" xfId="15" applyNumberFormat="1" applyFont="1" applyFill="1" applyBorder="1"/>
    <xf numFmtId="0" fontId="10" fillId="0" borderId="0" xfId="0" applyFont="1" applyBorder="1" applyAlignment="1">
      <alignment horizontal="center" vertical="center" wrapText="1"/>
    </xf>
    <xf numFmtId="9" fontId="9" fillId="0" borderId="0" xfId="16" applyFont="1" applyBorder="1" applyAlignment="1">
      <alignment horizontal="center"/>
    </xf>
    <xf numFmtId="164" fontId="0" fillId="0" borderId="0" xfId="15" applyNumberFormat="1" applyFont="1" applyBorder="1" applyAlignment="1">
      <alignment horizontal="center"/>
    </xf>
    <xf numFmtId="0" fontId="0" fillId="0" borderId="0" xfId="0" applyBorder="1"/>
    <xf numFmtId="164" fontId="0" fillId="0" borderId="21" xfId="15" applyNumberFormat="1" applyFont="1" applyFill="1" applyBorder="1"/>
    <xf numFmtId="0" fontId="0" fillId="0" borderId="33" xfId="0" applyBorder="1" applyAlignment="1">
      <alignment horizontal="center" wrapText="1"/>
    </xf>
    <xf numFmtId="0" fontId="0" fillId="0" borderId="44" xfId="0" applyBorder="1" applyAlignment="1">
      <alignment horizontal="center" wrapText="1"/>
    </xf>
    <xf numFmtId="0" fontId="22" fillId="0" borderId="6" xfId="0" applyFont="1" applyBorder="1" applyAlignment="1">
      <alignment horizontal="left" vertical="top"/>
    </xf>
    <xf numFmtId="164" fontId="0" fillId="10" borderId="6" xfId="15" applyNumberFormat="1" applyFont="1" applyFill="1" applyBorder="1" applyAlignment="1">
      <alignment vertical="top"/>
    </xf>
    <xf numFmtId="0" fontId="0" fillId="10" borderId="39" xfId="0" quotePrefix="1" applyNumberFormat="1" applyFill="1" applyBorder="1" applyAlignment="1">
      <alignment horizontal="center" wrapText="1"/>
    </xf>
    <xf numFmtId="0" fontId="0" fillId="10" borderId="15" xfId="0" applyFill="1" applyBorder="1" applyAlignment="1">
      <alignment horizontal="center" wrapText="1"/>
    </xf>
    <xf numFmtId="164" fontId="0" fillId="10" borderId="16" xfId="15" applyNumberFormat="1" applyFont="1" applyFill="1" applyBorder="1"/>
    <xf numFmtId="164" fontId="0" fillId="10" borderId="23" xfId="15" applyNumberFormat="1" applyFont="1" applyFill="1" applyBorder="1"/>
    <xf numFmtId="164" fontId="0" fillId="10" borderId="15" xfId="15" applyNumberFormat="1" applyFont="1" applyFill="1" applyBorder="1"/>
    <xf numFmtId="44" fontId="0" fillId="0" borderId="0" xfId="0" applyNumberFormat="1" applyAlignment="1">
      <alignment vertical="top"/>
    </xf>
    <xf numFmtId="164" fontId="0" fillId="0" borderId="75" xfId="15" applyNumberFormat="1" applyFont="1" applyFill="1" applyBorder="1"/>
    <xf numFmtId="164" fontId="0" fillId="0" borderId="0" xfId="0" applyNumberFormat="1" applyBorder="1"/>
    <xf numFmtId="164" fontId="0" fillId="0" borderId="0" xfId="15" applyNumberFormat="1" applyFont="1" applyFill="1" applyBorder="1"/>
    <xf numFmtId="49" fontId="27" fillId="0" borderId="47" xfId="0" applyNumberFormat="1" applyFont="1" applyBorder="1" applyAlignment="1">
      <alignment horizontal="center" vertical="center" textRotation="90" wrapText="1"/>
    </xf>
    <xf numFmtId="170" fontId="0" fillId="0" borderId="2" xfId="15" applyNumberFormat="1" applyFont="1" applyFill="1" applyBorder="1"/>
    <xf numFmtId="0" fontId="10" fillId="10" borderId="9" xfId="0" applyFont="1" applyFill="1" applyBorder="1" applyAlignment="1">
      <alignment horizontal="center" wrapText="1"/>
    </xf>
    <xf numFmtId="164" fontId="0" fillId="10" borderId="6" xfId="15" applyNumberFormat="1" applyFont="1" applyFill="1" applyBorder="1" applyAlignment="1">
      <alignment horizontal="center" vertical="top"/>
    </xf>
    <xf numFmtId="0" fontId="0" fillId="11" borderId="6" xfId="0" applyFill="1" applyBorder="1" applyAlignment="1">
      <alignment vertical="top"/>
    </xf>
    <xf numFmtId="164" fontId="0" fillId="11" borderId="6" xfId="0" applyNumberFormat="1" applyFill="1" applyBorder="1" applyAlignment="1">
      <alignment horizontal="center" vertical="top"/>
    </xf>
    <xf numFmtId="0" fontId="0" fillId="11" borderId="6" xfId="0" applyFill="1" applyBorder="1" applyAlignment="1">
      <alignment horizontal="center" vertical="top"/>
    </xf>
    <xf numFmtId="164" fontId="0" fillId="11" borderId="6" xfId="15" applyNumberFormat="1" applyFont="1" applyFill="1" applyBorder="1" applyAlignment="1">
      <alignment vertical="top"/>
    </xf>
    <xf numFmtId="0" fontId="0" fillId="11" borderId="6" xfId="0" applyNumberFormat="1" applyFill="1" applyBorder="1" applyAlignment="1">
      <alignment horizontal="center" vertical="top"/>
    </xf>
    <xf numFmtId="0" fontId="0" fillId="0" borderId="0" xfId="0" applyAlignment="1">
      <alignment horizontal="left"/>
    </xf>
    <xf numFmtId="0" fontId="29" fillId="9" borderId="0" xfId="0" applyFont="1" applyFill="1" applyBorder="1" applyAlignment="1">
      <alignment horizontal="left" vertical="top" wrapText="1"/>
    </xf>
    <xf numFmtId="170" fontId="0" fillId="0" borderId="0" xfId="0" applyNumberFormat="1"/>
    <xf numFmtId="167" fontId="0" fillId="0" borderId="0" xfId="0" applyNumberFormat="1"/>
    <xf numFmtId="0" fontId="10" fillId="0" borderId="65" xfId="0" applyFont="1" applyBorder="1" applyAlignment="1">
      <alignment wrapText="1"/>
    </xf>
    <xf numFmtId="0" fontId="10" fillId="0" borderId="0" xfId="0" applyFont="1" applyBorder="1" applyAlignment="1">
      <alignment wrapText="1"/>
    </xf>
    <xf numFmtId="0" fontId="10" fillId="0" borderId="28" xfId="0" applyFont="1" applyBorder="1"/>
    <xf numFmtId="0" fontId="0" fillId="0" borderId="47" xfId="0" applyBorder="1" applyAlignment="1">
      <alignment horizontal="center" wrapText="1"/>
    </xf>
    <xf numFmtId="0" fontId="0" fillId="0" borderId="2" xfId="0" applyBorder="1" applyAlignment="1">
      <alignment horizontal="center" wrapText="1"/>
    </xf>
    <xf numFmtId="0" fontId="7" fillId="2" borderId="6" xfId="9" applyFill="1" applyBorder="1"/>
    <xf numFmtId="0" fontId="30" fillId="0" borderId="0" xfId="0" applyFont="1" applyAlignment="1">
      <alignment horizontal="left" vertical="center" readingOrder="1"/>
    </xf>
    <xf numFmtId="3" fontId="7" fillId="0" borderId="0" xfId="9" applyNumberFormat="1" applyAlignment="1">
      <alignment horizontal="center"/>
    </xf>
    <xf numFmtId="0" fontId="7" fillId="0" borderId="6" xfId="9" applyBorder="1" applyAlignment="1">
      <alignment horizontal="center" wrapText="1"/>
    </xf>
    <xf numFmtId="0" fontId="7" fillId="0" borderId="6" xfId="9" applyBorder="1" applyAlignment="1">
      <alignment wrapText="1"/>
    </xf>
    <xf numFmtId="171" fontId="7" fillId="0" borderId="6" xfId="23" applyNumberFormat="1" applyFont="1" applyBorder="1" applyAlignment="1">
      <alignment horizontal="center"/>
    </xf>
    <xf numFmtId="171" fontId="7" fillId="0" borderId="6" xfId="9" applyNumberFormat="1" applyBorder="1"/>
    <xf numFmtId="171" fontId="7" fillId="2" borderId="6" xfId="23" applyNumberFormat="1" applyFont="1" applyFill="1" applyBorder="1" applyAlignment="1">
      <alignment horizontal="center"/>
    </xf>
    <xf numFmtId="171" fontId="7" fillId="2" borderId="6" xfId="9" applyNumberFormat="1" applyFill="1" applyBorder="1"/>
    <xf numFmtId="171" fontId="7" fillId="0" borderId="0" xfId="23" applyNumberFormat="1" applyFont="1" applyFill="1" applyBorder="1" applyAlignment="1">
      <alignment horizontal="center"/>
    </xf>
    <xf numFmtId="0" fontId="7" fillId="0" borderId="0" xfId="9" applyFill="1"/>
    <xf numFmtId="171" fontId="7" fillId="0" borderId="6" xfId="23" applyNumberFormat="1" applyFont="1" applyFill="1" applyBorder="1" applyAlignment="1">
      <alignment horizontal="center"/>
    </xf>
    <xf numFmtId="0" fontId="0" fillId="0" borderId="0" xfId="0" applyAlignment="1">
      <alignment horizontal="center"/>
    </xf>
    <xf numFmtId="10" fontId="7" fillId="0" borderId="0" xfId="9" applyNumberFormat="1"/>
    <xf numFmtId="0" fontId="7" fillId="0" borderId="0" xfId="9" applyFill="1" applyBorder="1" applyAlignment="1">
      <alignment horizontal="center"/>
    </xf>
    <xf numFmtId="171" fontId="7" fillId="0" borderId="9" xfId="23" applyNumberFormat="1" applyFont="1" applyFill="1" applyBorder="1" applyAlignment="1">
      <alignment horizontal="center"/>
    </xf>
    <xf numFmtId="171" fontId="7" fillId="0" borderId="9" xfId="9" applyNumberFormat="1" applyFill="1" applyBorder="1"/>
    <xf numFmtId="0" fontId="7" fillId="0" borderId="9" xfId="9" applyFill="1" applyBorder="1"/>
    <xf numFmtId="164" fontId="0" fillId="0" borderId="6" xfId="0" applyNumberFormat="1" applyBorder="1" applyAlignment="1">
      <alignment horizontal="center" vertical="center"/>
    </xf>
    <xf numFmtId="167" fontId="3" fillId="0" borderId="0" xfId="0" applyNumberFormat="1" applyFont="1"/>
    <xf numFmtId="171" fontId="0" fillId="0" borderId="0" xfId="23" applyNumberFormat="1" applyFont="1"/>
    <xf numFmtId="43" fontId="0" fillId="0" borderId="0" xfId="0" applyNumberFormat="1"/>
    <xf numFmtId="0" fontId="10" fillId="0" borderId="0" xfId="0" applyFont="1" applyAlignment="1">
      <alignment horizontal="left"/>
    </xf>
    <xf numFmtId="0" fontId="10" fillId="0" borderId="0" xfId="0" applyFont="1" applyAlignment="1"/>
    <xf numFmtId="0" fontId="10" fillId="0" borderId="3" xfId="0" applyFont="1" applyBorder="1" applyAlignment="1">
      <alignment horizontal="center" wrapText="1"/>
    </xf>
    <xf numFmtId="0" fontId="10" fillId="0" borderId="21" xfId="0" applyFont="1" applyBorder="1" applyAlignment="1">
      <alignment horizontal="center" wrapText="1"/>
    </xf>
    <xf numFmtId="0" fontId="10" fillId="0" borderId="46" xfId="0" applyFont="1" applyBorder="1" applyAlignment="1">
      <alignment horizontal="center" wrapText="1"/>
    </xf>
    <xf numFmtId="0" fontId="10" fillId="0" borderId="66" xfId="0" applyFont="1" applyBorder="1" applyAlignment="1">
      <alignment horizontal="center" wrapText="1"/>
    </xf>
    <xf numFmtId="0" fontId="7" fillId="0" borderId="0" xfId="9" applyAlignment="1"/>
    <xf numFmtId="43" fontId="3" fillId="0" borderId="0" xfId="23" applyFont="1"/>
    <xf numFmtId="0" fontId="10" fillId="0" borderId="0" xfId="0" applyFont="1" applyAlignment="1">
      <alignment horizontal="left" vertical="top"/>
    </xf>
    <xf numFmtId="0" fontId="10" fillId="0" borderId="22" xfId="0" applyFont="1" applyBorder="1" applyAlignment="1">
      <alignment horizontal="center" wrapText="1"/>
    </xf>
    <xf numFmtId="164" fontId="0" fillId="0" borderId="18" xfId="15" applyNumberFormat="1" applyFont="1" applyBorder="1" applyAlignment="1">
      <alignment vertical="top"/>
    </xf>
    <xf numFmtId="164" fontId="0" fillId="0" borderId="10" xfId="15" applyNumberFormat="1" applyFont="1" applyBorder="1" applyAlignment="1">
      <alignment vertical="top"/>
    </xf>
    <xf numFmtId="164" fontId="0" fillId="0" borderId="19" xfId="15" applyNumberFormat="1" applyFont="1" applyBorder="1" applyAlignment="1">
      <alignment vertical="top"/>
    </xf>
    <xf numFmtId="0" fontId="0" fillId="0" borderId="2" xfId="0" applyBorder="1"/>
    <xf numFmtId="0" fontId="10" fillId="0" borderId="5" xfId="0" applyFont="1" applyBorder="1"/>
    <xf numFmtId="0" fontId="10" fillId="0" borderId="5" xfId="0" applyFont="1" applyBorder="1" applyAlignment="1">
      <alignment wrapText="1"/>
    </xf>
    <xf numFmtId="0" fontId="10" fillId="0" borderId="5" xfId="0" applyFont="1" applyBorder="1" applyAlignment="1">
      <alignment vertical="top" wrapText="1"/>
    </xf>
    <xf numFmtId="0" fontId="7" fillId="0" borderId="0" xfId="9" quotePrefix="1" applyAlignment="1">
      <alignment horizontal="center"/>
    </xf>
    <xf numFmtId="44" fontId="7" fillId="0" borderId="0" xfId="15" applyFont="1"/>
    <xf numFmtId="44" fontId="7" fillId="0" borderId="0" xfId="9" applyNumberFormat="1"/>
    <xf numFmtId="44" fontId="0" fillId="0" borderId="0" xfId="0" applyNumberFormat="1"/>
    <xf numFmtId="0" fontId="10" fillId="0" borderId="73" xfId="0" applyFont="1" applyBorder="1" applyAlignment="1">
      <alignment horizontal="center"/>
    </xf>
    <xf numFmtId="0" fontId="10" fillId="0" borderId="76" xfId="0" applyFont="1" applyBorder="1" applyAlignment="1">
      <alignment horizontal="center" wrapText="1"/>
    </xf>
    <xf numFmtId="0" fontId="10" fillId="0" borderId="74" xfId="0" applyFont="1" applyBorder="1" applyAlignment="1">
      <alignment horizontal="center" wrapText="1"/>
    </xf>
    <xf numFmtId="0" fontId="10" fillId="0" borderId="72" xfId="0" applyFont="1" applyBorder="1" applyAlignment="1">
      <alignment horizontal="center" wrapText="1"/>
    </xf>
    <xf numFmtId="0" fontId="10" fillId="0" borderId="37" xfId="0" applyFont="1" applyBorder="1" applyAlignment="1">
      <alignment horizontal="center" wrapText="1"/>
    </xf>
    <xf numFmtId="0" fontId="10" fillId="0" borderId="20" xfId="0" applyFont="1" applyBorder="1"/>
    <xf numFmtId="0" fontId="0" fillId="0" borderId="7" xfId="0" applyBorder="1"/>
    <xf numFmtId="0" fontId="0" fillId="0" borderId="8" xfId="0" applyBorder="1"/>
    <xf numFmtId="0" fontId="0" fillId="0" borderId="5" xfId="0" applyBorder="1"/>
    <xf numFmtId="44" fontId="0" fillId="0" borderId="2" xfId="0" applyNumberFormat="1" applyBorder="1"/>
    <xf numFmtId="44" fontId="0" fillId="0" borderId="8" xfId="0" applyNumberFormat="1" applyBorder="1"/>
    <xf numFmtId="44" fontId="0" fillId="0" borderId="5" xfId="0" applyNumberFormat="1" applyBorder="1"/>
    <xf numFmtId="0" fontId="10" fillId="0" borderId="0" xfId="0" applyFont="1" applyAlignment="1">
      <alignment horizontal="right"/>
    </xf>
    <xf numFmtId="0" fontId="10" fillId="0" borderId="46" xfId="0" applyFont="1" applyBorder="1" applyAlignment="1">
      <alignment wrapText="1"/>
    </xf>
    <xf numFmtId="0" fontId="10" fillId="0" borderId="46" xfId="0" applyFont="1" applyBorder="1" applyAlignment="1">
      <alignment horizontal="center"/>
    </xf>
    <xf numFmtId="9" fontId="10" fillId="0" borderId="47" xfId="16" applyFont="1" applyBorder="1" applyAlignment="1">
      <alignment horizontal="center" wrapText="1"/>
    </xf>
    <xf numFmtId="44" fontId="0" fillId="0" borderId="73" xfId="0" applyNumberFormat="1" applyBorder="1"/>
    <xf numFmtId="44" fontId="0" fillId="0" borderId="74" xfId="0" applyNumberFormat="1" applyBorder="1"/>
    <xf numFmtId="0" fontId="0" fillId="0" borderId="47" xfId="0" applyBorder="1" applyAlignment="1">
      <alignment horizontal="center"/>
    </xf>
    <xf numFmtId="44" fontId="0" fillId="0" borderId="72" xfId="0" applyNumberFormat="1" applyBorder="1"/>
    <xf numFmtId="171" fontId="7" fillId="2" borderId="9" xfId="23" applyNumberFormat="1" applyFont="1" applyFill="1" applyBorder="1" applyAlignment="1">
      <alignment horizontal="center"/>
    </xf>
    <xf numFmtId="172" fontId="0" fillId="0" borderId="0" xfId="0" applyNumberFormat="1"/>
    <xf numFmtId="0" fontId="5" fillId="0" borderId="0" xfId="0" applyFont="1"/>
    <xf numFmtId="0" fontId="31" fillId="0" borderId="0" xfId="0" applyFont="1"/>
    <xf numFmtId="0" fontId="32" fillId="0" borderId="0" xfId="0" applyFont="1" applyAlignment="1">
      <alignment vertical="top" wrapText="1"/>
    </xf>
    <xf numFmtId="0" fontId="32" fillId="0" borderId="14" xfId="0" quotePrefix="1" applyFont="1" applyBorder="1" applyAlignment="1">
      <alignment horizontal="center" vertical="top" wrapText="1"/>
    </xf>
    <xf numFmtId="164" fontId="33" fillId="0" borderId="6" xfId="0" quotePrefix="1" applyNumberFormat="1" applyFont="1" applyBorder="1" applyAlignment="1">
      <alignment horizontal="center" vertical="top"/>
    </xf>
    <xf numFmtId="0" fontId="32" fillId="0" borderId="6" xfId="0" quotePrefix="1" applyFont="1" applyBorder="1" applyAlignment="1">
      <alignment horizontal="center" vertical="top"/>
    </xf>
    <xf numFmtId="164" fontId="32" fillId="10" borderId="6" xfId="15" quotePrefix="1" applyNumberFormat="1" applyFont="1" applyFill="1" applyBorder="1" applyAlignment="1">
      <alignment horizontal="center" vertical="top"/>
    </xf>
    <xf numFmtId="164" fontId="32" fillId="10" borderId="6" xfId="15" quotePrefix="1" applyNumberFormat="1" applyFont="1" applyFill="1" applyBorder="1" applyAlignment="1">
      <alignment vertical="top"/>
    </xf>
    <xf numFmtId="0" fontId="31" fillId="0" borderId="38" xfId="0" applyFont="1" applyBorder="1" applyAlignment="1">
      <alignment horizontal="center" wrapText="1"/>
    </xf>
    <xf numFmtId="164" fontId="0" fillId="10" borderId="5" xfId="15" applyNumberFormat="1" applyFont="1" applyFill="1" applyBorder="1"/>
    <xf numFmtId="173" fontId="34" fillId="12" borderId="45" xfId="22" applyNumberFormat="1" applyFont="1" applyFill="1" applyBorder="1" applyAlignment="1">
      <alignment horizontal="left" vertical="center"/>
    </xf>
    <xf numFmtId="0" fontId="7" fillId="12" borderId="77" xfId="22" applyFill="1" applyBorder="1"/>
    <xf numFmtId="0" fontId="7" fillId="12" borderId="77" xfId="22" applyFill="1" applyBorder="1" applyAlignment="1">
      <alignment vertical="center"/>
    </xf>
    <xf numFmtId="173" fontId="7" fillId="12" borderId="77" xfId="22" applyNumberFormat="1" applyFill="1" applyBorder="1" applyAlignment="1">
      <alignment vertical="center"/>
    </xf>
    <xf numFmtId="0" fontId="7" fillId="12" borderId="78" xfId="22" applyFill="1" applyBorder="1" applyAlignment="1">
      <alignment vertical="center"/>
    </xf>
    <xf numFmtId="173" fontId="35" fillId="12" borderId="27" xfId="22" applyNumberFormat="1" applyFont="1" applyFill="1" applyBorder="1" applyAlignment="1">
      <alignment horizontal="left" vertical="center"/>
    </xf>
    <xf numFmtId="0" fontId="7" fillId="12" borderId="0" xfId="22" applyFill="1"/>
    <xf numFmtId="0" fontId="7" fillId="12" borderId="0" xfId="22" applyFill="1" applyAlignment="1">
      <alignment vertical="center"/>
    </xf>
    <xf numFmtId="173" fontId="7" fillId="12" borderId="0" xfId="22" applyNumberFormat="1" applyFill="1" applyAlignment="1">
      <alignment vertical="center"/>
    </xf>
    <xf numFmtId="173" fontId="7" fillId="13" borderId="79" xfId="22" applyNumberFormat="1" applyFill="1" applyBorder="1" applyAlignment="1">
      <alignment horizontal="left" vertical="center"/>
    </xf>
    <xf numFmtId="173" fontId="7" fillId="13" borderId="80" xfId="22" applyNumberFormat="1" applyFill="1" applyBorder="1"/>
    <xf numFmtId="0" fontId="7" fillId="13" borderId="81" xfId="22" applyFill="1" applyBorder="1" applyAlignment="1">
      <alignment vertical="center"/>
    </xf>
    <xf numFmtId="0" fontId="7" fillId="13" borderId="80" xfId="22" applyFill="1" applyBorder="1" applyAlignment="1">
      <alignment vertical="center"/>
    </xf>
    <xf numFmtId="0" fontId="7" fillId="12" borderId="82" xfId="22" applyFill="1" applyBorder="1" applyAlignment="1">
      <alignment vertical="center"/>
    </xf>
    <xf numFmtId="173" fontId="7" fillId="13" borderId="83" xfId="22" applyNumberFormat="1" applyFill="1" applyBorder="1" applyAlignment="1">
      <alignment horizontal="left" vertical="center"/>
    </xf>
    <xf numFmtId="173" fontId="7" fillId="13" borderId="81" xfId="22" applyNumberFormat="1" applyFill="1" applyBorder="1" applyAlignment="1">
      <alignment vertical="center"/>
    </xf>
    <xf numFmtId="0" fontId="7" fillId="13" borderId="80" xfId="22" applyFill="1" applyBorder="1"/>
    <xf numFmtId="173" fontId="36" fillId="12" borderId="0" xfId="22" quotePrefix="1" applyNumberFormat="1" applyFont="1" applyFill="1" applyAlignment="1">
      <alignment horizontal="left" vertical="center"/>
    </xf>
    <xf numFmtId="0" fontId="36" fillId="12" borderId="0" xfId="22" applyFont="1" applyFill="1" applyAlignment="1">
      <alignment horizontal="left" vertical="center"/>
    </xf>
    <xf numFmtId="0" fontId="7" fillId="12" borderId="84" xfId="22" applyFill="1" applyBorder="1" applyAlignment="1">
      <alignment vertical="center"/>
    </xf>
    <xf numFmtId="173" fontId="36" fillId="12" borderId="27" xfId="22" applyNumberFormat="1" applyFont="1" applyFill="1" applyBorder="1" applyAlignment="1">
      <alignment horizontal="left" vertical="center"/>
    </xf>
    <xf numFmtId="0" fontId="36" fillId="12" borderId="0" xfId="22" applyFont="1" applyFill="1" applyAlignment="1">
      <alignment vertical="center"/>
    </xf>
    <xf numFmtId="0" fontId="7" fillId="13" borderId="79" xfId="22" applyFill="1" applyBorder="1" applyAlignment="1">
      <alignment horizontal="left" vertical="center"/>
    </xf>
    <xf numFmtId="0" fontId="7" fillId="12" borderId="27" xfId="22" applyFill="1" applyBorder="1" applyAlignment="1">
      <alignment vertical="center"/>
    </xf>
    <xf numFmtId="173" fontId="36" fillId="12" borderId="30" xfId="22" quotePrefix="1" applyNumberFormat="1" applyFont="1" applyFill="1" applyBorder="1" applyAlignment="1">
      <alignment horizontal="left" vertical="center"/>
    </xf>
    <xf numFmtId="0" fontId="7" fillId="12" borderId="37" xfId="22" applyFill="1" applyBorder="1" applyAlignment="1">
      <alignment vertical="center"/>
    </xf>
    <xf numFmtId="173" fontId="36" fillId="12" borderId="37" xfId="22" quotePrefix="1" applyNumberFormat="1" applyFont="1" applyFill="1" applyBorder="1" applyAlignment="1">
      <alignment horizontal="left" vertical="center"/>
    </xf>
    <xf numFmtId="0" fontId="36" fillId="12" borderId="37" xfId="22" applyFont="1" applyFill="1" applyBorder="1" applyAlignment="1">
      <alignment horizontal="left" vertical="center"/>
    </xf>
    <xf numFmtId="0" fontId="36" fillId="12" borderId="37" xfId="22" quotePrefix="1" applyFont="1" applyFill="1" applyBorder="1" applyAlignment="1">
      <alignment vertical="center"/>
    </xf>
    <xf numFmtId="0" fontId="36" fillId="12" borderId="37" xfId="22" applyFont="1" applyFill="1" applyBorder="1"/>
    <xf numFmtId="0" fontId="36" fillId="12" borderId="37" xfId="22" applyFont="1" applyFill="1" applyBorder="1" applyAlignment="1">
      <alignment vertical="center"/>
    </xf>
    <xf numFmtId="0" fontId="7" fillId="12" borderId="37" xfId="22" applyFill="1" applyBorder="1"/>
    <xf numFmtId="0" fontId="7" fillId="12" borderId="85" xfId="22" applyFill="1" applyBorder="1"/>
    <xf numFmtId="0" fontId="7" fillId="12" borderId="9" xfId="22" applyFill="1" applyBorder="1" applyAlignment="1">
      <alignment vertical="center"/>
    </xf>
    <xf numFmtId="0" fontId="37" fillId="12" borderId="77" xfId="22" applyFont="1" applyFill="1" applyBorder="1" applyAlignment="1">
      <alignment horizontal="centerContinuous" vertical="center"/>
    </xf>
    <xf numFmtId="0" fontId="7" fillId="12" borderId="78" xfId="22" applyFill="1" applyBorder="1" applyAlignment="1">
      <alignment horizontal="centerContinuous" vertical="center"/>
    </xf>
    <xf numFmtId="0" fontId="37" fillId="12" borderId="9" xfId="22" applyFont="1" applyFill="1" applyBorder="1" applyAlignment="1">
      <alignment horizontal="centerContinuous" vertical="center"/>
    </xf>
    <xf numFmtId="0" fontId="38" fillId="14" borderId="77" xfId="22" applyFont="1" applyFill="1" applyBorder="1" applyAlignment="1">
      <alignment horizontal="center" vertical="center"/>
    </xf>
    <xf numFmtId="0" fontId="7" fillId="14" borderId="9" xfId="22" applyFill="1" applyBorder="1" applyAlignment="1">
      <alignment vertical="center"/>
    </xf>
    <xf numFmtId="0" fontId="7" fillId="0" borderId="0" xfId="22" applyAlignment="1">
      <alignment vertical="center"/>
    </xf>
    <xf numFmtId="0" fontId="39" fillId="12" borderId="9" xfId="22" applyFont="1" applyFill="1" applyBorder="1" applyAlignment="1">
      <alignment horizontal="centerContinuous" vertical="center"/>
    </xf>
    <xf numFmtId="0" fontId="7" fillId="12" borderId="86" xfId="22" applyFill="1" applyBorder="1"/>
    <xf numFmtId="0" fontId="40" fillId="12" borderId="0" xfId="22" applyFont="1" applyFill="1" applyAlignment="1">
      <alignment horizontal="centerContinuous" vertical="center"/>
    </xf>
    <xf numFmtId="0" fontId="40" fillId="12" borderId="82" xfId="22" quotePrefix="1" applyFont="1" applyFill="1" applyBorder="1" applyAlignment="1">
      <alignment horizontal="centerContinuous" vertical="center"/>
    </xf>
    <xf numFmtId="0" fontId="40" fillId="12" borderId="27" xfId="22" applyFont="1" applyFill="1" applyBorder="1" applyAlignment="1">
      <alignment horizontal="centerContinuous" vertical="center"/>
    </xf>
    <xf numFmtId="0" fontId="40" fillId="12" borderId="27" xfId="22" applyFont="1" applyFill="1" applyBorder="1" applyAlignment="1">
      <alignment horizontal="left" vertical="center" indent="9"/>
    </xf>
    <xf numFmtId="0" fontId="40" fillId="12" borderId="82" xfId="22" applyFont="1" applyFill="1" applyBorder="1" applyAlignment="1">
      <alignment horizontal="centerContinuous" vertical="center"/>
    </xf>
    <xf numFmtId="0" fontId="40" fillId="12" borderId="0" xfId="22" applyFont="1" applyFill="1" applyAlignment="1">
      <alignment horizontal="left" vertical="center" indent="5"/>
    </xf>
    <xf numFmtId="0" fontId="40" fillId="12" borderId="27" xfId="22" applyFont="1" applyFill="1" applyBorder="1" applyAlignment="1">
      <alignment horizontal="left" vertical="center" indent="6"/>
    </xf>
    <xf numFmtId="0" fontId="40" fillId="12" borderId="86" xfId="22" applyFont="1" applyFill="1" applyBorder="1" applyAlignment="1">
      <alignment horizontal="centerContinuous" vertical="center"/>
    </xf>
    <xf numFmtId="0" fontId="7" fillId="14" borderId="0" xfId="22" applyFill="1" applyAlignment="1">
      <alignment vertical="center"/>
    </xf>
    <xf numFmtId="0" fontId="7" fillId="14" borderId="86" xfId="22" applyFill="1" applyBorder="1" applyAlignment="1">
      <alignment vertical="center"/>
    </xf>
    <xf numFmtId="0" fontId="14" fillId="12" borderId="86" xfId="22" applyFont="1" applyFill="1" applyBorder="1" applyAlignment="1">
      <alignment horizontal="center" vertical="center"/>
    </xf>
    <xf numFmtId="0" fontId="41" fillId="12" borderId="0" xfId="22" applyFont="1" applyFill="1" applyAlignment="1">
      <alignment horizontal="center" vertical="center"/>
    </xf>
    <xf numFmtId="0" fontId="41" fillId="12" borderId="87" xfId="22" applyFont="1" applyFill="1" applyBorder="1" applyAlignment="1">
      <alignment horizontal="center" vertical="center"/>
    </xf>
    <xf numFmtId="0" fontId="41" fillId="12" borderId="86" xfId="22" applyFont="1" applyFill="1" applyBorder="1" applyAlignment="1">
      <alignment horizontal="centerContinuous" vertical="center"/>
    </xf>
    <xf numFmtId="0" fontId="41" fillId="12" borderId="86" xfId="22" applyFont="1" applyFill="1" applyBorder="1" applyAlignment="1">
      <alignment horizontal="center" vertical="center"/>
    </xf>
    <xf numFmtId="0" fontId="14" fillId="14" borderId="0" xfId="22" applyFont="1" applyFill="1" applyAlignment="1">
      <alignment horizontal="center" vertical="center"/>
    </xf>
    <xf numFmtId="0" fontId="14" fillId="14" borderId="86" xfId="22" applyFont="1" applyFill="1" applyBorder="1" applyAlignment="1">
      <alignment horizontal="center" vertical="center"/>
    </xf>
    <xf numFmtId="0" fontId="14" fillId="0" borderId="0" xfId="22" applyFont="1" applyAlignment="1">
      <alignment horizontal="center" vertical="center"/>
    </xf>
    <xf numFmtId="0" fontId="39" fillId="12" borderId="86" xfId="22" applyFont="1" applyFill="1" applyBorder="1" applyAlignment="1">
      <alignment horizontal="center" vertical="center"/>
    </xf>
    <xf numFmtId="0" fontId="42" fillId="12" borderId="33" xfId="22" applyFont="1" applyFill="1" applyBorder="1" applyAlignment="1">
      <alignment vertical="center"/>
    </xf>
    <xf numFmtId="0" fontId="41" fillId="12" borderId="37" xfId="22" applyFont="1" applyFill="1" applyBorder="1" applyAlignment="1">
      <alignment horizontal="center" vertical="center"/>
    </xf>
    <xf numFmtId="0" fontId="41" fillId="12" borderId="88" xfId="22" applyFont="1" applyFill="1" applyBorder="1" applyAlignment="1">
      <alignment horizontal="center" vertical="center"/>
    </xf>
    <xf numFmtId="0" fontId="41" fillId="12" borderId="33" xfId="22" applyFont="1" applyFill="1" applyBorder="1" applyAlignment="1">
      <alignment horizontal="center" vertical="center"/>
    </xf>
    <xf numFmtId="0" fontId="14" fillId="14" borderId="37" xfId="22" applyFont="1" applyFill="1" applyBorder="1" applyAlignment="1">
      <alignment horizontal="center" vertical="center"/>
    </xf>
    <xf numFmtId="0" fontId="14" fillId="14" borderId="33" xfId="22" applyFont="1" applyFill="1" applyBorder="1" applyAlignment="1">
      <alignment horizontal="center" vertical="center"/>
    </xf>
    <xf numFmtId="0" fontId="39" fillId="12" borderId="33" xfId="22" applyFont="1" applyFill="1" applyBorder="1" applyAlignment="1">
      <alignment horizontal="center" vertical="center"/>
    </xf>
    <xf numFmtId="174" fontId="7" fillId="15" borderId="83" xfId="22" applyNumberFormat="1" applyFill="1" applyBorder="1" applyAlignment="1">
      <alignment horizontal="center" vertical="center"/>
    </xf>
    <xf numFmtId="38" fontId="7" fillId="15" borderId="89" xfId="4" applyNumberFormat="1" applyFont="1" applyFill="1" applyBorder="1" applyAlignment="1">
      <alignment horizontal="right" vertical="center"/>
    </xf>
    <xf numFmtId="38" fontId="7" fillId="15" borderId="90" xfId="4" applyNumberFormat="1" applyFont="1" applyFill="1" applyBorder="1" applyAlignment="1">
      <alignment horizontal="right" vertical="center"/>
    </xf>
    <xf numFmtId="40" fontId="7" fillId="15" borderId="89" xfId="4" applyNumberFormat="1" applyFont="1" applyFill="1" applyBorder="1" applyAlignment="1">
      <alignment horizontal="right" vertical="center"/>
    </xf>
    <xf numFmtId="40" fontId="7" fillId="15" borderId="90" xfId="4" applyNumberFormat="1" applyFont="1" applyFill="1" applyBorder="1" applyAlignment="1">
      <alignment horizontal="right" vertical="center"/>
    </xf>
    <xf numFmtId="175" fontId="7" fillId="15" borderId="89" xfId="16" applyNumberFormat="1" applyFont="1" applyFill="1" applyBorder="1" applyAlignment="1">
      <alignment horizontal="right" vertical="center"/>
    </xf>
    <xf numFmtId="175" fontId="7" fillId="15" borderId="90" xfId="16" applyNumberFormat="1" applyFont="1" applyFill="1" applyBorder="1" applyAlignment="1">
      <alignment horizontal="right" vertical="center"/>
    </xf>
    <xf numFmtId="39" fontId="7" fillId="0" borderId="91" xfId="22" applyNumberFormat="1" applyBorder="1" applyAlignment="1">
      <alignment vertical="center"/>
    </xf>
    <xf numFmtId="39" fontId="7" fillId="0" borderId="92" xfId="22" applyNumberFormat="1" applyBorder="1" applyAlignment="1">
      <alignment vertical="center"/>
    </xf>
    <xf numFmtId="37" fontId="7" fillId="0" borderId="93" xfId="22" quotePrefix="1" applyNumberFormat="1" applyBorder="1" applyAlignment="1">
      <alignment vertical="center"/>
    </xf>
    <xf numFmtId="5" fontId="7" fillId="0" borderId="94" xfId="22" applyNumberFormat="1" applyBorder="1" applyAlignment="1">
      <alignment vertical="center"/>
    </xf>
    <xf numFmtId="5" fontId="7" fillId="14" borderId="81" xfId="22" applyNumberFormat="1" applyFill="1" applyBorder="1" applyAlignment="1">
      <alignment vertical="center"/>
    </xf>
    <xf numFmtId="5" fontId="7" fillId="14" borderId="95" xfId="4" applyNumberFormat="1" applyFont="1" applyFill="1" applyBorder="1" applyAlignment="1" applyProtection="1">
      <alignment vertical="center"/>
    </xf>
    <xf numFmtId="5" fontId="7" fillId="0" borderId="0" xfId="4" applyNumberFormat="1" applyFont="1" applyFill="1" applyBorder="1" applyAlignment="1" applyProtection="1">
      <alignment vertical="center"/>
    </xf>
    <xf numFmtId="176" fontId="7" fillId="0" borderId="93" xfId="4" applyNumberFormat="1" applyFont="1" applyFill="1" applyBorder="1" applyAlignment="1" applyProtection="1">
      <alignment vertical="center"/>
    </xf>
    <xf numFmtId="174" fontId="7" fillId="15" borderId="96" xfId="22" applyNumberFormat="1" applyFill="1" applyBorder="1" applyAlignment="1">
      <alignment horizontal="center" vertical="center"/>
    </xf>
    <xf numFmtId="38" fontId="7" fillId="15" borderId="97" xfId="4" applyNumberFormat="1" applyFont="1" applyFill="1" applyBorder="1" applyAlignment="1">
      <alignment horizontal="right" vertical="center"/>
    </xf>
    <xf numFmtId="38" fontId="7" fillId="15" borderId="84" xfId="4" applyNumberFormat="1" applyFont="1" applyFill="1" applyBorder="1" applyAlignment="1">
      <alignment horizontal="right" vertical="center"/>
    </xf>
    <xf numFmtId="40" fontId="7" fillId="15" borderId="97" xfId="4" applyNumberFormat="1" applyFont="1" applyFill="1" applyBorder="1" applyAlignment="1">
      <alignment horizontal="right" vertical="center"/>
    </xf>
    <xf numFmtId="40" fontId="7" fillId="15" borderId="84" xfId="4" applyNumberFormat="1" applyFont="1" applyFill="1" applyBorder="1" applyAlignment="1">
      <alignment horizontal="right" vertical="center"/>
    </xf>
    <xf numFmtId="175" fontId="7" fillId="15" borderId="97" xfId="16" applyNumberFormat="1" applyFont="1" applyFill="1" applyBorder="1" applyAlignment="1">
      <alignment horizontal="right" vertical="center"/>
    </xf>
    <xf numFmtId="175" fontId="7" fillId="15" borderId="84" xfId="16" applyNumberFormat="1" applyFont="1" applyFill="1" applyBorder="1" applyAlignment="1">
      <alignment horizontal="right" vertical="center"/>
    </xf>
    <xf numFmtId="39" fontId="7" fillId="0" borderId="98" xfId="22" applyNumberFormat="1" applyBorder="1" applyAlignment="1">
      <alignment vertical="center"/>
    </xf>
    <xf numFmtId="39" fontId="7" fillId="0" borderId="99" xfId="22" applyNumberFormat="1" applyBorder="1" applyAlignment="1">
      <alignment vertical="center"/>
    </xf>
    <xf numFmtId="37" fontId="7" fillId="0" borderId="100" xfId="22" applyNumberFormat="1" applyBorder="1" applyAlignment="1">
      <alignment vertical="center"/>
    </xf>
    <xf numFmtId="5" fontId="7" fillId="0" borderId="100" xfId="22" applyNumberFormat="1" applyBorder="1" applyAlignment="1">
      <alignment vertical="center"/>
    </xf>
    <xf numFmtId="176" fontId="7" fillId="0" borderId="100" xfId="4" applyNumberFormat="1" applyFont="1" applyFill="1" applyBorder="1" applyAlignment="1" applyProtection="1">
      <alignment vertical="center"/>
    </xf>
    <xf numFmtId="174" fontId="7" fillId="0" borderId="34" xfId="22" applyNumberFormat="1" applyBorder="1" applyAlignment="1">
      <alignment horizontal="center" vertical="center"/>
    </xf>
    <xf numFmtId="38" fontId="7" fillId="0" borderId="34" xfId="4" applyNumberFormat="1" applyFont="1" applyFill="1" applyBorder="1" applyAlignment="1">
      <alignment horizontal="right" vertical="center"/>
    </xf>
    <xf numFmtId="40" fontId="7" fillId="16" borderId="34" xfId="4" applyNumberFormat="1" applyFont="1" applyFill="1" applyBorder="1" applyAlignment="1">
      <alignment horizontal="right" vertical="center"/>
    </xf>
    <xf numFmtId="37" fontId="7" fillId="0" borderId="34" xfId="22" applyNumberFormat="1" applyBorder="1" applyAlignment="1">
      <alignment vertical="center"/>
    </xf>
    <xf numFmtId="37" fontId="7" fillId="0" borderId="77" xfId="22" applyNumberFormat="1" applyBorder="1" applyAlignment="1">
      <alignment vertical="center"/>
    </xf>
    <xf numFmtId="37" fontId="7" fillId="0" borderId="37" xfId="22" applyNumberFormat="1" applyBorder="1" applyAlignment="1">
      <alignment vertical="center"/>
    </xf>
    <xf numFmtId="37" fontId="7" fillId="0" borderId="0" xfId="22" applyNumberFormat="1" applyAlignment="1">
      <alignment vertical="center"/>
    </xf>
    <xf numFmtId="38" fontId="7" fillId="0" borderId="34" xfId="4" applyNumberFormat="1" applyFont="1" applyFill="1" applyBorder="1" applyAlignment="1" applyProtection="1">
      <alignment vertical="center"/>
    </xf>
    <xf numFmtId="38" fontId="7" fillId="0" borderId="0" xfId="4" applyNumberFormat="1" applyFont="1" applyFill="1" applyBorder="1" applyAlignment="1" applyProtection="1">
      <alignment vertical="center"/>
    </xf>
    <xf numFmtId="171" fontId="7" fillId="0" borderId="0" xfId="4" applyNumberFormat="1" applyFont="1" applyFill="1" applyBorder="1" applyAlignment="1" applyProtection="1">
      <alignment vertical="center"/>
    </xf>
    <xf numFmtId="174" fontId="7" fillId="0" borderId="101" xfId="22" applyNumberFormat="1" applyBorder="1" applyAlignment="1">
      <alignment horizontal="center" vertical="center"/>
    </xf>
    <xf numFmtId="38" fontId="7" fillId="0" borderId="91" xfId="4" applyNumberFormat="1" applyFont="1" applyBorder="1" applyAlignment="1">
      <alignment horizontal="right" vertical="center"/>
    </xf>
    <xf numFmtId="38" fontId="7" fillId="0" borderId="102" xfId="4" applyNumberFormat="1" applyFont="1" applyBorder="1" applyAlignment="1">
      <alignment horizontal="right" vertical="center"/>
    </xf>
    <xf numFmtId="40" fontId="7" fillId="0" borderId="91" xfId="4" applyNumberFormat="1" applyFont="1" applyBorder="1" applyAlignment="1">
      <alignment horizontal="right" vertical="center"/>
    </xf>
    <xf numFmtId="40" fontId="7" fillId="0" borderId="102" xfId="4" applyNumberFormat="1" applyFont="1" applyBorder="1" applyAlignment="1">
      <alignment horizontal="right" vertical="center"/>
    </xf>
    <xf numFmtId="175" fontId="7" fillId="0" borderId="91" xfId="19" applyNumberFormat="1" applyFont="1" applyBorder="1" applyAlignment="1">
      <alignment horizontal="right" vertical="center"/>
    </xf>
    <xf numFmtId="175" fontId="7" fillId="0" borderId="92" xfId="19" applyNumberFormat="1" applyFont="1" applyBorder="1" applyAlignment="1">
      <alignment horizontal="right" vertical="center"/>
    </xf>
    <xf numFmtId="5" fontId="7" fillId="0" borderId="93" xfId="4" applyNumberFormat="1" applyFont="1" applyBorder="1" applyAlignment="1">
      <alignment horizontal="right" vertical="center"/>
    </xf>
    <xf numFmtId="37" fontId="7" fillId="0" borderId="93" xfId="4" applyNumberFormat="1" applyFont="1" applyFill="1" applyBorder="1" applyAlignment="1" applyProtection="1">
      <alignment vertical="center"/>
    </xf>
    <xf numFmtId="38" fontId="7" fillId="0" borderId="89" xfId="4" applyNumberFormat="1" applyFont="1" applyBorder="1" applyAlignment="1">
      <alignment horizontal="right" vertical="center"/>
    </xf>
    <xf numFmtId="38" fontId="7" fillId="0" borderId="103" xfId="4" applyNumberFormat="1" applyFont="1" applyBorder="1" applyAlignment="1">
      <alignment horizontal="right" vertical="center"/>
    </xf>
    <xf numFmtId="40" fontId="7" fillId="0" borderId="89" xfId="4" applyNumberFormat="1" applyFont="1" applyBorder="1" applyAlignment="1">
      <alignment horizontal="right" vertical="center"/>
    </xf>
    <xf numFmtId="40" fontId="7" fillId="0" borderId="103" xfId="4" applyNumberFormat="1" applyFont="1" applyBorder="1" applyAlignment="1">
      <alignment horizontal="right" vertical="center"/>
    </xf>
    <xf numFmtId="175" fontId="7" fillId="0" borderId="89" xfId="19" applyNumberFormat="1" applyFont="1" applyBorder="1" applyAlignment="1">
      <alignment horizontal="right" vertical="center"/>
    </xf>
    <xf numFmtId="175" fontId="7" fillId="0" borderId="79" xfId="19" applyNumberFormat="1" applyFont="1" applyBorder="1" applyAlignment="1">
      <alignment horizontal="right" vertical="center"/>
    </xf>
    <xf numFmtId="5" fontId="7" fillId="0" borderId="95" xfId="4" applyNumberFormat="1" applyFont="1" applyBorder="1" applyAlignment="1">
      <alignment horizontal="right" vertical="center"/>
    </xf>
    <xf numFmtId="37" fontId="7" fillId="0" borderId="95" xfId="4" applyNumberFormat="1" applyFont="1" applyFill="1" applyBorder="1" applyAlignment="1" applyProtection="1">
      <alignment vertical="center"/>
    </xf>
    <xf numFmtId="0" fontId="14" fillId="0" borderId="17" xfId="22" applyFont="1" applyBorder="1" applyAlignment="1">
      <alignment horizontal="center" vertical="center"/>
    </xf>
    <xf numFmtId="38" fontId="7" fillId="0" borderId="34" xfId="4" applyNumberFormat="1" applyFont="1" applyBorder="1" applyAlignment="1">
      <alignment vertical="center"/>
    </xf>
    <xf numFmtId="0" fontId="7" fillId="0" borderId="34" xfId="22" applyBorder="1" applyAlignment="1">
      <alignment vertical="center"/>
    </xf>
    <xf numFmtId="5" fontId="39" fillId="14" borderId="6" xfId="4" applyNumberFormat="1" applyFont="1" applyFill="1" applyBorder="1" applyAlignment="1" applyProtection="1">
      <alignment vertical="center"/>
    </xf>
    <xf numFmtId="5" fontId="39" fillId="0" borderId="0" xfId="4" applyNumberFormat="1" applyFont="1" applyFill="1" applyBorder="1" applyAlignment="1" applyProtection="1">
      <alignment vertical="center"/>
    </xf>
    <xf numFmtId="37" fontId="39" fillId="0" borderId="6" xfId="4" applyNumberFormat="1" applyFont="1" applyFill="1" applyBorder="1" applyAlignment="1" applyProtection="1">
      <alignment vertical="center"/>
    </xf>
    <xf numFmtId="0" fontId="7" fillId="12" borderId="9" xfId="22" applyFill="1" applyBorder="1" applyAlignment="1">
      <alignment horizontal="center" vertical="center"/>
    </xf>
    <xf numFmtId="0" fontId="7" fillId="0" borderId="0" xfId="22"/>
    <xf numFmtId="0" fontId="14" fillId="14" borderId="9" xfId="22" applyFont="1" applyFill="1" applyBorder="1" applyAlignment="1">
      <alignment horizontal="center" vertical="center"/>
    </xf>
    <xf numFmtId="0" fontId="14" fillId="0" borderId="86" xfId="22" applyFont="1" applyBorder="1" applyAlignment="1">
      <alignment horizontal="center" vertical="center"/>
    </xf>
    <xf numFmtId="0" fontId="39" fillId="12" borderId="86" xfId="22" applyFont="1" applyFill="1" applyBorder="1" applyAlignment="1">
      <alignment horizontal="centerContinuous" vertical="center"/>
    </xf>
    <xf numFmtId="5" fontId="7" fillId="0" borderId="95" xfId="4" applyNumberFormat="1" applyFont="1" applyFill="1" applyBorder="1" applyAlignment="1" applyProtection="1">
      <alignment vertical="center"/>
    </xf>
    <xf numFmtId="5" fontId="7" fillId="0" borderId="86" xfId="4" applyNumberFormat="1" applyFont="1" applyFill="1" applyBorder="1" applyAlignment="1" applyProtection="1">
      <alignment vertical="center"/>
    </xf>
    <xf numFmtId="5" fontId="39" fillId="0" borderId="6" xfId="4" applyNumberFormat="1" applyFont="1" applyFill="1" applyBorder="1" applyAlignment="1" applyProtection="1">
      <alignment vertical="center"/>
    </xf>
    <xf numFmtId="5" fontId="39" fillId="0" borderId="86" xfId="4" applyNumberFormat="1" applyFont="1" applyFill="1" applyBorder="1" applyAlignment="1" applyProtection="1">
      <alignment vertical="center"/>
    </xf>
    <xf numFmtId="0" fontId="7" fillId="17" borderId="0" xfId="22" applyFill="1"/>
    <xf numFmtId="173" fontId="7" fillId="13" borderId="79" xfId="22" applyNumberFormat="1" applyFill="1" applyBorder="1" applyAlignment="1">
      <alignment vertical="center"/>
    </xf>
    <xf numFmtId="0" fontId="7" fillId="17" borderId="0" xfId="22" applyFill="1" applyAlignment="1">
      <alignment vertical="center"/>
    </xf>
    <xf numFmtId="10" fontId="43" fillId="0" borderId="0" xfId="22" applyNumberFormat="1" applyFont="1" applyAlignment="1">
      <alignment vertical="center"/>
    </xf>
    <xf numFmtId="3" fontId="44" fillId="0" borderId="0" xfId="22" quotePrefix="1" applyNumberFormat="1" applyFont="1" applyAlignment="1">
      <alignment horizontal="left" vertical="center"/>
    </xf>
    <xf numFmtId="173" fontId="14" fillId="0" borderId="0" xfId="22" quotePrefix="1" applyNumberFormat="1" applyFont="1" applyAlignment="1">
      <alignment horizontal="center" vertical="center"/>
    </xf>
    <xf numFmtId="0" fontId="7" fillId="0" borderId="0" xfId="22" applyAlignment="1">
      <alignment horizontal="centerContinuous" vertical="center"/>
    </xf>
    <xf numFmtId="173" fontId="45" fillId="0" borderId="0" xfId="22" applyNumberFormat="1" applyFont="1" applyAlignment="1">
      <alignment horizontal="centerContinuous" vertical="center"/>
    </xf>
    <xf numFmtId="0" fontId="7" fillId="0" borderId="0" xfId="22" applyAlignment="1">
      <alignment horizontal="right" vertical="center"/>
    </xf>
    <xf numFmtId="0" fontId="7" fillId="17" borderId="9" xfId="22" applyFill="1" applyBorder="1" applyAlignment="1">
      <alignment vertical="center"/>
    </xf>
    <xf numFmtId="0" fontId="37" fillId="17" borderId="77" xfId="22" applyFont="1" applyFill="1" applyBorder="1" applyAlignment="1">
      <alignment horizontal="centerContinuous" vertical="center"/>
    </xf>
    <xf numFmtId="0" fontId="7" fillId="17" borderId="78" xfId="22" applyFill="1" applyBorder="1" applyAlignment="1">
      <alignment horizontal="centerContinuous" vertical="center"/>
    </xf>
    <xf numFmtId="0" fontId="37" fillId="12" borderId="45" xfId="22" applyFont="1" applyFill="1" applyBorder="1" applyAlignment="1">
      <alignment horizontal="centerContinuous" vertical="center"/>
    </xf>
    <xf numFmtId="0" fontId="45" fillId="12" borderId="78" xfId="22" applyFont="1" applyFill="1" applyBorder="1" applyAlignment="1">
      <alignment horizontal="centerContinuous" vertical="center"/>
    </xf>
    <xf numFmtId="0" fontId="37" fillId="17" borderId="78" xfId="22" applyFont="1" applyFill="1" applyBorder="1" applyAlignment="1">
      <alignment horizontal="centerContinuous" vertical="center"/>
    </xf>
    <xf numFmtId="0" fontId="37" fillId="17" borderId="9" xfId="22" applyFont="1" applyFill="1" applyBorder="1" applyAlignment="1">
      <alignment horizontal="centerContinuous" vertical="center"/>
    </xf>
    <xf numFmtId="0" fontId="38" fillId="14" borderId="45" xfId="22" applyFont="1" applyFill="1" applyBorder="1" applyAlignment="1">
      <alignment horizontal="center" vertical="center"/>
    </xf>
    <xf numFmtId="0" fontId="7" fillId="17" borderId="86" xfId="22" applyFill="1" applyBorder="1"/>
    <xf numFmtId="0" fontId="40" fillId="17" borderId="0" xfId="22" applyFont="1" applyFill="1" applyAlignment="1">
      <alignment horizontal="centerContinuous" vertical="center"/>
    </xf>
    <xf numFmtId="0" fontId="40" fillId="17" borderId="82" xfId="22" quotePrefix="1" applyFont="1" applyFill="1" applyBorder="1" applyAlignment="1">
      <alignment horizontal="centerContinuous" vertical="center"/>
    </xf>
    <xf numFmtId="0" fontId="40" fillId="17" borderId="27" xfId="22" applyFont="1" applyFill="1" applyBorder="1" applyAlignment="1">
      <alignment horizontal="centerContinuous" vertical="center"/>
    </xf>
    <xf numFmtId="0" fontId="40" fillId="17" borderId="27" xfId="22" applyFont="1" applyFill="1" applyBorder="1" applyAlignment="1">
      <alignment horizontal="left" vertical="center" indent="9"/>
    </xf>
    <xf numFmtId="0" fontId="40" fillId="17" borderId="82" xfId="22" applyFont="1" applyFill="1" applyBorder="1" applyAlignment="1">
      <alignment horizontal="centerContinuous" vertical="center"/>
    </xf>
    <xf numFmtId="0" fontId="40" fillId="17" borderId="0" xfId="22" applyFont="1" applyFill="1" applyAlignment="1">
      <alignment horizontal="left" vertical="center" indent="5"/>
    </xf>
    <xf numFmtId="0" fontId="40" fillId="17" borderId="27" xfId="22" applyFont="1" applyFill="1" applyBorder="1" applyAlignment="1">
      <alignment horizontal="left" vertical="center" indent="6"/>
    </xf>
    <xf numFmtId="0" fontId="40" fillId="17" borderId="86" xfId="22" applyFont="1" applyFill="1" applyBorder="1" applyAlignment="1">
      <alignment horizontal="centerContinuous" vertical="center"/>
    </xf>
    <xf numFmtId="0" fontId="7" fillId="14" borderId="27" xfId="22" applyFill="1" applyBorder="1" applyAlignment="1">
      <alignment vertical="center"/>
    </xf>
    <xf numFmtId="0" fontId="14" fillId="17" borderId="86" xfId="22" applyFont="1" applyFill="1" applyBorder="1" applyAlignment="1">
      <alignment horizontal="center" vertical="center"/>
    </xf>
    <xf numFmtId="0" fontId="41" fillId="17" borderId="0" xfId="22" applyFont="1" applyFill="1" applyAlignment="1">
      <alignment horizontal="center" vertical="center"/>
    </xf>
    <xf numFmtId="0" fontId="41" fillId="17" borderId="87" xfId="22" applyFont="1" applyFill="1" applyBorder="1" applyAlignment="1">
      <alignment horizontal="center" vertical="center"/>
    </xf>
    <xf numFmtId="0" fontId="41" fillId="12" borderId="27" xfId="22" applyFont="1" applyFill="1" applyBorder="1" applyAlignment="1">
      <alignment horizontal="center" vertical="center"/>
    </xf>
    <xf numFmtId="0" fontId="41" fillId="17" borderId="0" xfId="22" applyFont="1" applyFill="1" applyAlignment="1">
      <alignment horizontal="centerContinuous" vertical="center"/>
    </xf>
    <xf numFmtId="0" fontId="41" fillId="17" borderId="86" xfId="22" applyFont="1" applyFill="1" applyBorder="1" applyAlignment="1">
      <alignment horizontal="center" vertical="center"/>
    </xf>
    <xf numFmtId="0" fontId="14" fillId="14" borderId="27" xfId="22" applyFont="1" applyFill="1" applyBorder="1" applyAlignment="1">
      <alignment horizontal="center" vertical="center"/>
    </xf>
    <xf numFmtId="0" fontId="42" fillId="17" borderId="33" xfId="22" applyFont="1" applyFill="1" applyBorder="1" applyAlignment="1">
      <alignment vertical="center"/>
    </xf>
    <xf numFmtId="0" fontId="41" fillId="17" borderId="37" xfId="22" applyFont="1" applyFill="1" applyBorder="1" applyAlignment="1">
      <alignment horizontal="center" vertical="center"/>
    </xf>
    <xf numFmtId="0" fontId="41" fillId="17" borderId="88" xfId="22" applyFont="1" applyFill="1" applyBorder="1" applyAlignment="1">
      <alignment horizontal="center" vertical="center"/>
    </xf>
    <xf numFmtId="0" fontId="41" fillId="12" borderId="30" xfId="22" applyFont="1" applyFill="1" applyBorder="1" applyAlignment="1">
      <alignment horizontal="center" vertical="center"/>
    </xf>
    <xf numFmtId="0" fontId="41" fillId="17" borderId="85" xfId="22" applyFont="1" applyFill="1" applyBorder="1" applyAlignment="1">
      <alignment horizontal="center" vertical="center"/>
    </xf>
    <xf numFmtId="0" fontId="41" fillId="17" borderId="33" xfId="22" applyFont="1" applyFill="1" applyBorder="1" applyAlignment="1">
      <alignment horizontal="center" vertical="center"/>
    </xf>
    <xf numFmtId="0" fontId="14" fillId="14" borderId="30" xfId="22" applyFont="1" applyFill="1" applyBorder="1" applyAlignment="1">
      <alignment horizontal="center" vertical="center"/>
    </xf>
    <xf numFmtId="4" fontId="7" fillId="15" borderId="89" xfId="4" applyNumberFormat="1" applyFont="1" applyFill="1" applyBorder="1" applyAlignment="1">
      <alignment horizontal="right" vertical="center"/>
    </xf>
    <xf numFmtId="4" fontId="7" fillId="15" borderId="90" xfId="4" applyNumberFormat="1" applyFont="1" applyFill="1" applyBorder="1" applyAlignment="1">
      <alignment horizontal="right" vertical="center"/>
    </xf>
    <xf numFmtId="9" fontId="7" fillId="15" borderId="89" xfId="16" applyFont="1" applyFill="1" applyBorder="1" applyAlignment="1">
      <alignment horizontal="right" vertical="center"/>
    </xf>
    <xf numFmtId="9" fontId="7" fillId="15" borderId="90" xfId="16" applyFont="1" applyFill="1" applyBorder="1" applyAlignment="1">
      <alignment horizontal="right" vertical="center"/>
    </xf>
    <xf numFmtId="170" fontId="7" fillId="15" borderId="91" xfId="19" quotePrefix="1" applyNumberFormat="1" applyFont="1" applyFill="1" applyBorder="1" applyAlignment="1">
      <alignment horizontal="right" vertical="center"/>
    </xf>
    <xf numFmtId="170" fontId="7" fillId="15" borderId="107" xfId="19" applyNumberFormat="1" applyFont="1" applyFill="1" applyBorder="1" applyAlignment="1">
      <alignment horizontal="right" vertical="center"/>
    </xf>
    <xf numFmtId="37" fontId="7" fillId="0" borderId="92" xfId="22" quotePrefix="1" applyNumberFormat="1" applyBorder="1" applyAlignment="1">
      <alignment horizontal="right" vertical="center"/>
    </xf>
    <xf numFmtId="5" fontId="7" fillId="0" borderId="93" xfId="22" applyNumberFormat="1" applyBorder="1" applyAlignment="1">
      <alignment horizontal="right" vertical="center"/>
    </xf>
    <xf numFmtId="4" fontId="7" fillId="15" borderId="97" xfId="4" applyNumberFormat="1" applyFont="1" applyFill="1" applyBorder="1" applyAlignment="1">
      <alignment horizontal="right" vertical="center"/>
    </xf>
    <xf numFmtId="4" fontId="7" fillId="15" borderId="84" xfId="4" applyNumberFormat="1" applyFont="1" applyFill="1" applyBorder="1" applyAlignment="1">
      <alignment horizontal="right" vertical="center"/>
    </xf>
    <xf numFmtId="9" fontId="7" fillId="15" borderId="97" xfId="16" applyFont="1" applyFill="1" applyBorder="1" applyAlignment="1">
      <alignment horizontal="right" vertical="center"/>
    </xf>
    <xf numFmtId="9" fontId="7" fillId="15" borderId="84" xfId="16" applyFont="1" applyFill="1" applyBorder="1" applyAlignment="1">
      <alignment horizontal="right" vertical="center"/>
    </xf>
    <xf numFmtId="170" fontId="7" fillId="15" borderId="98" xfId="19" applyNumberFormat="1" applyFont="1" applyFill="1" applyBorder="1" applyAlignment="1">
      <alignment horizontal="right" vertical="center"/>
    </xf>
    <xf numFmtId="170" fontId="7" fillId="15" borderId="108" xfId="19" applyNumberFormat="1" applyFont="1" applyFill="1" applyBorder="1" applyAlignment="1">
      <alignment horizontal="right" vertical="center"/>
    </xf>
    <xf numFmtId="37" fontId="7" fillId="0" borderId="99" xfId="22" applyNumberFormat="1" applyBorder="1" applyAlignment="1">
      <alignment horizontal="right" vertical="center"/>
    </xf>
    <xf numFmtId="5" fontId="7" fillId="0" borderId="100" xfId="22" applyNumberFormat="1" applyBorder="1" applyAlignment="1">
      <alignment horizontal="right" vertical="center"/>
    </xf>
    <xf numFmtId="6" fontId="7" fillId="0" borderId="102" xfId="4" applyNumberFormat="1" applyFont="1" applyBorder="1" applyAlignment="1">
      <alignment horizontal="right" vertical="center"/>
    </xf>
    <xf numFmtId="6" fontId="7" fillId="0" borderId="103" xfId="4" applyNumberFormat="1" applyFont="1" applyBorder="1" applyAlignment="1">
      <alignment horizontal="right" vertical="center"/>
    </xf>
    <xf numFmtId="173" fontId="46" fillId="0" borderId="0" xfId="22" applyNumberFormat="1" applyFont="1" applyAlignment="1">
      <alignment horizontal="left" vertical="center"/>
    </xf>
    <xf numFmtId="173" fontId="7" fillId="0" borderId="0" xfId="22" applyNumberFormat="1" applyAlignment="1">
      <alignment vertical="center"/>
    </xf>
    <xf numFmtId="173" fontId="7" fillId="13" borderId="80" xfId="22" applyNumberFormat="1" applyFill="1" applyBorder="1" applyAlignment="1">
      <alignment horizontal="left" vertical="center"/>
    </xf>
    <xf numFmtId="0" fontId="0" fillId="17" borderId="0" xfId="0" applyFill="1"/>
    <xf numFmtId="0" fontId="7" fillId="13" borderId="79" xfId="22" applyFill="1" applyBorder="1" applyAlignment="1">
      <alignment vertical="center"/>
    </xf>
    <xf numFmtId="173" fontId="36" fillId="12" borderId="0" xfId="22" applyNumberFormat="1" applyFont="1" applyFill="1" applyAlignment="1">
      <alignment horizontal="left" vertical="center"/>
    </xf>
    <xf numFmtId="173" fontId="36" fillId="12" borderId="0" xfId="22" applyNumberFormat="1" applyFont="1" applyFill="1" applyAlignment="1">
      <alignment horizontal="left" vertical="center" indent="3"/>
    </xf>
    <xf numFmtId="0" fontId="36" fillId="12" borderId="0" xfId="22" applyFont="1" applyFill="1" applyAlignment="1">
      <alignment horizontal="right" vertical="center"/>
    </xf>
    <xf numFmtId="0" fontId="7" fillId="13" borderId="80" xfId="22" applyFill="1" applyBorder="1" applyAlignment="1">
      <alignment horizontal="left" vertical="center"/>
    </xf>
    <xf numFmtId="173" fontId="36" fillId="12" borderId="30" xfId="22" applyNumberFormat="1" applyFont="1" applyFill="1" applyBorder="1" applyAlignment="1">
      <alignment horizontal="left" vertical="center"/>
    </xf>
    <xf numFmtId="173" fontId="36" fillId="12" borderId="37" xfId="22" applyNumberFormat="1" applyFont="1" applyFill="1" applyBorder="1" applyAlignment="1">
      <alignment horizontal="left" vertical="center"/>
    </xf>
    <xf numFmtId="173" fontId="36" fillId="0" borderId="0" xfId="22" quotePrefix="1" applyNumberFormat="1" applyFont="1" applyAlignment="1">
      <alignment horizontal="left" vertical="center"/>
    </xf>
    <xf numFmtId="0" fontId="36" fillId="0" borderId="0" xfId="22" applyFont="1" applyAlignment="1">
      <alignment horizontal="left" vertical="center"/>
    </xf>
    <xf numFmtId="0" fontId="43" fillId="0" borderId="0" xfId="22" applyFont="1" applyAlignment="1">
      <alignment vertical="center"/>
    </xf>
    <xf numFmtId="173" fontId="45" fillId="0" borderId="0" xfId="22" applyNumberFormat="1" applyFont="1" applyAlignment="1">
      <alignment vertical="center"/>
    </xf>
    <xf numFmtId="0" fontId="45" fillId="12" borderId="77" xfId="22" applyFont="1" applyFill="1" applyBorder="1" applyAlignment="1">
      <alignment horizontal="centerContinuous" vertical="center"/>
    </xf>
    <xf numFmtId="0" fontId="7" fillId="12" borderId="77" xfId="22" applyFill="1" applyBorder="1" applyAlignment="1">
      <alignment horizontal="centerContinuous" vertical="center"/>
    </xf>
    <xf numFmtId="0" fontId="37" fillId="12" borderId="78" xfId="22" applyFont="1" applyFill="1" applyBorder="1" applyAlignment="1">
      <alignment horizontal="centerContinuous" vertical="center"/>
    </xf>
    <xf numFmtId="0" fontId="40" fillId="12" borderId="27" xfId="22" quotePrefix="1" applyFont="1" applyFill="1" applyBorder="1" applyAlignment="1">
      <alignment horizontal="centerContinuous" vertical="center"/>
    </xf>
    <xf numFmtId="0" fontId="40" fillId="12" borderId="0" xfId="22" quotePrefix="1" applyFont="1" applyFill="1" applyAlignment="1">
      <alignment horizontal="centerContinuous" vertical="center"/>
    </xf>
    <xf numFmtId="0" fontId="40" fillId="12" borderId="109" xfId="22" applyFont="1" applyFill="1" applyBorder="1" applyAlignment="1">
      <alignment horizontal="centerContinuous" vertical="center"/>
    </xf>
    <xf numFmtId="0" fontId="40" fillId="12" borderId="110" xfId="22" applyFont="1" applyFill="1" applyBorder="1" applyAlignment="1">
      <alignment horizontal="centerContinuous" vertical="center"/>
    </xf>
    <xf numFmtId="0" fontId="40" fillId="12" borderId="87" xfId="22" applyFont="1" applyFill="1" applyBorder="1" applyAlignment="1">
      <alignment horizontal="centerContinuous" vertical="center"/>
    </xf>
    <xf numFmtId="0" fontId="41" fillId="12" borderId="111" xfId="22" applyFont="1" applyFill="1" applyBorder="1" applyAlignment="1">
      <alignment horizontal="center" vertical="center"/>
    </xf>
    <xf numFmtId="0" fontId="41" fillId="12" borderId="109" xfId="22" applyFont="1" applyFill="1" applyBorder="1" applyAlignment="1">
      <alignment horizontal="center" vertical="center"/>
    </xf>
    <xf numFmtId="0" fontId="41" fillId="12" borderId="110" xfId="22" applyFont="1" applyFill="1" applyBorder="1" applyAlignment="1">
      <alignment horizontal="center" vertical="center"/>
    </xf>
    <xf numFmtId="0" fontId="41" fillId="12" borderId="112" xfId="22" applyFont="1" applyFill="1" applyBorder="1" applyAlignment="1">
      <alignment horizontal="center" vertical="center"/>
    </xf>
    <xf numFmtId="0" fontId="41" fillId="12" borderId="113" xfId="22" applyFont="1" applyFill="1" applyBorder="1" applyAlignment="1">
      <alignment horizontal="center" vertical="center"/>
    </xf>
    <xf numFmtId="0" fontId="41" fillId="12" borderId="114" xfId="22" applyFont="1" applyFill="1" applyBorder="1" applyAlignment="1">
      <alignment horizontal="center" vertical="center"/>
    </xf>
    <xf numFmtId="177" fontId="7" fillId="0" borderId="91" xfId="4" applyNumberFormat="1" applyFont="1" applyFill="1" applyBorder="1" applyAlignment="1">
      <alignment horizontal="right" vertical="center"/>
    </xf>
    <xf numFmtId="177" fontId="7" fillId="0" borderId="102" xfId="4" applyNumberFormat="1" applyFont="1" applyFill="1" applyBorder="1" applyAlignment="1">
      <alignment horizontal="right" vertical="center"/>
    </xf>
    <xf numFmtId="38" fontId="7" fillId="15" borderId="81" xfId="4" applyNumberFormat="1" applyFont="1" applyFill="1" applyBorder="1" applyAlignment="1">
      <alignment horizontal="right" vertical="center"/>
    </xf>
    <xf numFmtId="38" fontId="7" fillId="0" borderId="102" xfId="4" applyNumberFormat="1" applyFont="1" applyFill="1" applyBorder="1" applyAlignment="1">
      <alignment horizontal="right" vertical="center"/>
    </xf>
    <xf numFmtId="175" fontId="7" fillId="15" borderId="91" xfId="19" applyNumberFormat="1" applyFont="1" applyFill="1" applyBorder="1" applyAlignment="1">
      <alignment horizontal="right" vertical="center"/>
    </xf>
    <xf numFmtId="175" fontId="7" fillId="15" borderId="107" xfId="19" applyNumberFormat="1" applyFont="1" applyFill="1" applyBorder="1" applyAlignment="1">
      <alignment horizontal="right" vertical="center"/>
    </xf>
    <xf numFmtId="170" fontId="7" fillId="15" borderId="91" xfId="19" applyNumberFormat="1" applyFont="1" applyFill="1" applyBorder="1" applyAlignment="1">
      <alignment horizontal="right" vertical="center"/>
    </xf>
    <xf numFmtId="5" fontId="7" fillId="0" borderId="91" xfId="22" applyNumberFormat="1" applyBorder="1" applyAlignment="1">
      <alignment vertical="center"/>
    </xf>
    <xf numFmtId="5" fontId="7" fillId="0" borderId="104" xfId="22" applyNumberFormat="1" applyBorder="1" applyAlignment="1">
      <alignment vertical="center"/>
    </xf>
    <xf numFmtId="5" fontId="7" fillId="0" borderId="102" xfId="22" applyNumberFormat="1" applyBorder="1" applyAlignment="1">
      <alignment vertical="center"/>
    </xf>
    <xf numFmtId="5" fontId="7" fillId="14" borderId="83" xfId="22" applyNumberFormat="1" applyFill="1" applyBorder="1" applyAlignment="1">
      <alignment vertical="center"/>
    </xf>
    <xf numFmtId="177" fontId="7" fillId="0" borderId="98" xfId="4" applyNumberFormat="1" applyFont="1" applyFill="1" applyBorder="1" applyAlignment="1">
      <alignment horizontal="right" vertical="center"/>
    </xf>
    <xf numFmtId="177" fontId="7" fillId="0" borderId="106" xfId="4" applyNumberFormat="1" applyFont="1" applyFill="1" applyBorder="1" applyAlignment="1">
      <alignment horizontal="right" vertical="center"/>
    </xf>
    <xf numFmtId="38" fontId="7" fillId="0" borderId="115" xfId="4" applyNumberFormat="1" applyFont="1" applyFill="1" applyBorder="1" applyAlignment="1">
      <alignment horizontal="right" vertical="center"/>
    </xf>
    <xf numFmtId="175" fontId="7" fillId="15" borderId="98" xfId="19" applyNumberFormat="1" applyFont="1" applyFill="1" applyBorder="1" applyAlignment="1">
      <alignment horizontal="right" vertical="center"/>
    </xf>
    <xf numFmtId="175" fontId="7" fillId="15" borderId="108" xfId="19" applyNumberFormat="1" applyFont="1" applyFill="1" applyBorder="1" applyAlignment="1">
      <alignment horizontal="right" vertical="center"/>
    </xf>
    <xf numFmtId="5" fontId="7" fillId="0" borderId="98" xfId="22" applyNumberFormat="1" applyBorder="1" applyAlignment="1">
      <alignment vertical="center"/>
    </xf>
    <xf numFmtId="5" fontId="7" fillId="0" borderId="105" xfId="22" applyNumberFormat="1" applyBorder="1" applyAlignment="1">
      <alignment vertical="center"/>
    </xf>
    <xf numFmtId="5" fontId="7" fillId="0" borderId="106" xfId="22" applyNumberFormat="1" applyBorder="1" applyAlignment="1">
      <alignment vertical="center"/>
    </xf>
    <xf numFmtId="177" fontId="7" fillId="0" borderId="17" xfId="4" applyNumberFormat="1" applyFont="1" applyFill="1" applyBorder="1" applyAlignment="1">
      <alignment horizontal="right" vertical="center"/>
    </xf>
    <xf numFmtId="177" fontId="7" fillId="0" borderId="14" xfId="4" applyNumberFormat="1" applyFont="1" applyFill="1" applyBorder="1" applyAlignment="1">
      <alignment horizontal="right" vertical="center"/>
    </xf>
    <xf numFmtId="177" fontId="7" fillId="0" borderId="34" xfId="4" applyNumberFormat="1" applyFont="1" applyFill="1" applyBorder="1" applyAlignment="1">
      <alignment horizontal="right" vertical="center"/>
    </xf>
    <xf numFmtId="177" fontId="7" fillId="0" borderId="116" xfId="4" applyNumberFormat="1" applyFont="1" applyFill="1" applyBorder="1" applyAlignment="1">
      <alignment horizontal="right" vertical="center"/>
    </xf>
    <xf numFmtId="38" fontId="7" fillId="0" borderId="79" xfId="4" applyNumberFormat="1" applyFont="1" applyBorder="1" applyAlignment="1">
      <alignment horizontal="right" vertical="center"/>
    </xf>
    <xf numFmtId="177" fontId="7" fillId="0" borderId="89" xfId="4" applyNumberFormat="1" applyFont="1" applyFill="1" applyBorder="1" applyAlignment="1">
      <alignment horizontal="right" vertical="center"/>
    </xf>
    <xf numFmtId="177" fontId="7" fillId="0" borderId="103" xfId="4" applyNumberFormat="1" applyFont="1" applyFill="1" applyBorder="1" applyAlignment="1">
      <alignment horizontal="right" vertical="center"/>
    </xf>
    <xf numFmtId="38" fontId="7" fillId="0" borderId="92" xfId="4" applyNumberFormat="1" applyFont="1" applyBorder="1" applyAlignment="1">
      <alignment horizontal="right" vertical="center"/>
    </xf>
    <xf numFmtId="175" fontId="7" fillId="0" borderId="80" xfId="19" applyNumberFormat="1" applyFont="1" applyBorder="1" applyAlignment="1">
      <alignment horizontal="right" vertical="center"/>
    </xf>
    <xf numFmtId="175" fontId="7" fillId="0" borderId="103" xfId="19" applyNumberFormat="1" applyFont="1" applyBorder="1" applyAlignment="1">
      <alignment horizontal="right" vertical="center"/>
    </xf>
    <xf numFmtId="8" fontId="7" fillId="0" borderId="91" xfId="4" applyNumberFormat="1" applyFont="1" applyBorder="1" applyAlignment="1">
      <alignment horizontal="right" vertical="center"/>
    </xf>
    <xf numFmtId="8" fontId="7" fillId="0" borderId="102" xfId="4" applyNumberFormat="1" applyFont="1" applyBorder="1" applyAlignment="1">
      <alignment horizontal="right" vertical="center"/>
    </xf>
    <xf numFmtId="8" fontId="7" fillId="0" borderId="89" xfId="4" applyNumberFormat="1" applyFont="1" applyBorder="1" applyAlignment="1">
      <alignment horizontal="right" vertical="center"/>
    </xf>
    <xf numFmtId="8" fontId="7" fillId="0" borderId="103" xfId="4" applyNumberFormat="1" applyFont="1" applyBorder="1" applyAlignment="1">
      <alignment horizontal="right" vertical="center"/>
    </xf>
    <xf numFmtId="5" fontId="7" fillId="0" borderId="89" xfId="22" applyNumberFormat="1" applyBorder="1" applyAlignment="1">
      <alignment vertical="center"/>
    </xf>
    <xf numFmtId="5" fontId="7" fillId="0" borderId="117" xfId="22" applyNumberFormat="1" applyBorder="1" applyAlignment="1">
      <alignment vertical="center"/>
    </xf>
    <xf numFmtId="5" fontId="7" fillId="0" borderId="103" xfId="22" applyNumberFormat="1" applyBorder="1" applyAlignment="1">
      <alignment vertical="center"/>
    </xf>
    <xf numFmtId="5" fontId="7" fillId="0" borderId="34" xfId="22" applyNumberFormat="1" applyBorder="1" applyAlignment="1">
      <alignment vertical="center"/>
    </xf>
    <xf numFmtId="0" fontId="7" fillId="0" borderId="0" xfId="0" applyFont="1"/>
    <xf numFmtId="0" fontId="7" fillId="0" borderId="0" xfId="0" applyFont="1" applyAlignment="1">
      <alignment vertical="center"/>
    </xf>
    <xf numFmtId="173" fontId="36" fillId="0" borderId="0" xfId="0" quotePrefix="1" applyNumberFormat="1" applyFont="1" applyAlignment="1">
      <alignment horizontal="left" vertical="center"/>
    </xf>
    <xf numFmtId="0" fontId="36" fillId="0" borderId="0" xfId="0" applyFont="1" applyAlignment="1">
      <alignment horizontal="left" vertical="center"/>
    </xf>
    <xf numFmtId="0" fontId="7" fillId="0" borderId="0" xfId="0" applyFont="1" applyAlignment="1">
      <alignment horizontal="center"/>
    </xf>
    <xf numFmtId="0" fontId="47" fillId="0" borderId="0" xfId="0" applyFont="1" applyAlignment="1">
      <alignment horizontal="centerContinuous"/>
    </xf>
    <xf numFmtId="0" fontId="48" fillId="0" borderId="0" xfId="0" applyFont="1" applyAlignment="1">
      <alignment horizontal="centerContinuous" vertical="center"/>
    </xf>
    <xf numFmtId="173" fontId="48" fillId="0" borderId="0" xfId="0" quotePrefix="1" applyNumberFormat="1" applyFont="1" applyAlignment="1">
      <alignment horizontal="centerContinuous" vertical="center"/>
    </xf>
    <xf numFmtId="0" fontId="48" fillId="0" borderId="0" xfId="0" applyFont="1" applyAlignment="1">
      <alignment horizontal="centerContinuous"/>
    </xf>
    <xf numFmtId="173" fontId="14" fillId="0" borderId="0" xfId="0" quotePrefix="1" applyNumberFormat="1" applyFont="1" applyAlignment="1">
      <alignment horizontal="center" vertical="center"/>
    </xf>
    <xf numFmtId="0" fontId="36" fillId="0" borderId="0" xfId="0" applyFont="1" applyAlignment="1">
      <alignment horizontal="right" vertical="center"/>
    </xf>
    <xf numFmtId="173" fontId="7" fillId="0" borderId="0" xfId="0" quotePrefix="1" applyNumberFormat="1"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43" fillId="0" borderId="0" xfId="0" applyFont="1" applyAlignment="1">
      <alignment vertical="center"/>
    </xf>
    <xf numFmtId="173" fontId="7" fillId="0" borderId="0" xfId="0" applyNumberFormat="1" applyFont="1"/>
    <xf numFmtId="178" fontId="7" fillId="0" borderId="0" xfId="0" applyNumberFormat="1" applyFont="1" applyAlignment="1">
      <alignment vertical="center"/>
    </xf>
    <xf numFmtId="173" fontId="45" fillId="0" borderId="0" xfId="0" applyNumberFormat="1" applyFont="1" applyAlignment="1">
      <alignment vertical="center"/>
    </xf>
    <xf numFmtId="0" fontId="14" fillId="0" borderId="0" xfId="0" applyFont="1" applyAlignment="1">
      <alignment vertical="center"/>
    </xf>
    <xf numFmtId="0" fontId="7" fillId="12" borderId="9" xfId="0" applyFont="1" applyFill="1" applyBorder="1" applyAlignment="1">
      <alignment vertical="center"/>
    </xf>
    <xf numFmtId="0" fontId="37" fillId="12" borderId="77" xfId="0" applyFont="1" applyFill="1" applyBorder="1" applyAlignment="1">
      <alignment horizontal="centerContinuous" vertical="center"/>
    </xf>
    <xf numFmtId="0" fontId="7" fillId="12" borderId="78" xfId="0" applyFont="1" applyFill="1" applyBorder="1" applyAlignment="1">
      <alignment horizontal="centerContinuous" vertical="center"/>
    </xf>
    <xf numFmtId="0" fontId="7" fillId="12" borderId="77" xfId="0" applyFont="1" applyFill="1" applyBorder="1" applyAlignment="1">
      <alignment horizontal="centerContinuous" vertical="center"/>
    </xf>
    <xf numFmtId="0" fontId="37" fillId="12" borderId="45" xfId="0" applyFont="1" applyFill="1" applyBorder="1" applyAlignment="1">
      <alignment horizontal="centerContinuous" vertical="center"/>
    </xf>
    <xf numFmtId="0" fontId="45" fillId="12" borderId="78" xfId="0" applyFont="1" applyFill="1" applyBorder="1" applyAlignment="1">
      <alignment horizontal="centerContinuous" vertical="center"/>
    </xf>
    <xf numFmtId="0" fontId="38" fillId="14" borderId="45" xfId="0" applyFont="1" applyFill="1" applyBorder="1" applyAlignment="1">
      <alignment horizontal="center" vertical="center"/>
    </xf>
    <xf numFmtId="0" fontId="7" fillId="14" borderId="9" xfId="0" applyFont="1" applyFill="1" applyBorder="1" applyAlignment="1">
      <alignment vertical="center"/>
    </xf>
    <xf numFmtId="0" fontId="7" fillId="12" borderId="86" xfId="0" applyFont="1" applyFill="1" applyBorder="1"/>
    <xf numFmtId="0" fontId="40" fillId="17" borderId="0" xfId="0" applyFont="1" applyFill="1" applyAlignment="1">
      <alignment horizontal="centerContinuous" vertical="center"/>
    </xf>
    <xf numFmtId="0" fontId="40" fillId="17" borderId="82" xfId="0" quotePrefix="1" applyFont="1" applyFill="1" applyBorder="1" applyAlignment="1">
      <alignment horizontal="centerContinuous" vertical="center"/>
    </xf>
    <xf numFmtId="0" fontId="40" fillId="12" borderId="0" xfId="0" applyFont="1" applyFill="1" applyAlignment="1">
      <alignment horizontal="centerContinuous" vertical="center"/>
    </xf>
    <xf numFmtId="0" fontId="40" fillId="12" borderId="82" xfId="0" quotePrefix="1" applyFont="1" applyFill="1" applyBorder="1" applyAlignment="1">
      <alignment horizontal="centerContinuous" vertical="center"/>
    </xf>
    <xf numFmtId="0" fontId="40" fillId="12" borderId="0" xfId="0" quotePrefix="1" applyFont="1" applyFill="1" applyAlignment="1">
      <alignment horizontal="centerContinuous" vertical="center"/>
    </xf>
    <xf numFmtId="0" fontId="37" fillId="12" borderId="27" xfId="0" applyFont="1" applyFill="1" applyBorder="1" applyAlignment="1">
      <alignment horizontal="centerContinuous" vertical="center"/>
    </xf>
    <xf numFmtId="0" fontId="40" fillId="12" borderId="27" xfId="0" applyFont="1" applyFill="1" applyBorder="1" applyAlignment="1">
      <alignment horizontal="centerContinuous" vertical="center"/>
    </xf>
    <xf numFmtId="0" fontId="40" fillId="12" borderId="82" xfId="0" applyFont="1" applyFill="1" applyBorder="1" applyAlignment="1">
      <alignment horizontal="centerContinuous" vertical="center"/>
    </xf>
    <xf numFmtId="0" fontId="7" fillId="14" borderId="27" xfId="0" applyFont="1" applyFill="1" applyBorder="1" applyAlignment="1">
      <alignment vertical="center"/>
    </xf>
    <xf numFmtId="0" fontId="7" fillId="14" borderId="86" xfId="0" applyFont="1" applyFill="1" applyBorder="1" applyAlignment="1">
      <alignment vertical="center"/>
    </xf>
    <xf numFmtId="0" fontId="14" fillId="12" borderId="86" xfId="0" applyFont="1" applyFill="1" applyBorder="1" applyAlignment="1">
      <alignment horizontal="center" vertical="center"/>
    </xf>
    <xf numFmtId="0" fontId="41" fillId="12" borderId="0" xfId="0" applyFont="1" applyFill="1" applyAlignment="1">
      <alignment horizontal="center" vertical="center"/>
    </xf>
    <xf numFmtId="0" fontId="41" fillId="12" borderId="87" xfId="0" applyFont="1" applyFill="1" applyBorder="1" applyAlignment="1">
      <alignment horizontal="center" vertical="center"/>
    </xf>
    <xf numFmtId="0" fontId="14" fillId="14" borderId="27" xfId="0" applyFont="1" applyFill="1" applyBorder="1" applyAlignment="1">
      <alignment horizontal="center" vertical="center"/>
    </xf>
    <xf numFmtId="0" fontId="14" fillId="14" borderId="86" xfId="0" applyFont="1" applyFill="1" applyBorder="1" applyAlignment="1">
      <alignment horizontal="center" vertical="center"/>
    </xf>
    <xf numFmtId="0" fontId="42" fillId="12" borderId="33" xfId="0" applyFont="1" applyFill="1" applyBorder="1" applyAlignment="1">
      <alignment vertical="center"/>
    </xf>
    <xf numFmtId="0" fontId="41" fillId="12" borderId="37" xfId="0" applyFont="1" applyFill="1" applyBorder="1" applyAlignment="1">
      <alignment horizontal="center" vertical="center"/>
    </xf>
    <xf numFmtId="0" fontId="41" fillId="12" borderId="88"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33" xfId="0" applyFont="1" applyFill="1" applyBorder="1" applyAlignment="1">
      <alignment horizontal="center" vertical="center"/>
    </xf>
    <xf numFmtId="177" fontId="7" fillId="15" borderId="89" xfId="4" applyNumberFormat="1" applyFont="1" applyFill="1" applyBorder="1" applyAlignment="1">
      <alignment horizontal="right" vertical="center"/>
    </xf>
    <xf numFmtId="177" fontId="7" fillId="15" borderId="90" xfId="4" applyNumberFormat="1" applyFont="1" applyFill="1" applyBorder="1" applyAlignment="1">
      <alignment horizontal="right" vertical="center"/>
    </xf>
    <xf numFmtId="178" fontId="7" fillId="0" borderId="89" xfId="4" applyNumberFormat="1" applyFont="1" applyFill="1" applyBorder="1" applyAlignment="1">
      <alignment horizontal="right" vertical="center"/>
    </xf>
    <xf numFmtId="178" fontId="7" fillId="0" borderId="90" xfId="4" applyNumberFormat="1" applyFont="1" applyFill="1" applyBorder="1" applyAlignment="1">
      <alignment horizontal="right" vertical="center"/>
    </xf>
    <xf numFmtId="178" fontId="7" fillId="16" borderId="89" xfId="4" applyNumberFormat="1" applyFont="1" applyFill="1" applyBorder="1" applyAlignment="1">
      <alignment horizontal="right" vertical="center"/>
    </xf>
    <xf numFmtId="178" fontId="7" fillId="16" borderId="90" xfId="4" applyNumberFormat="1" applyFont="1" applyFill="1" applyBorder="1" applyAlignment="1">
      <alignment horizontal="right" vertical="center"/>
    </xf>
    <xf numFmtId="3" fontId="7" fillId="0" borderId="118" xfId="0" quotePrefix="1" applyNumberFormat="1" applyFont="1" applyBorder="1" applyAlignment="1">
      <alignment vertical="center"/>
    </xf>
    <xf numFmtId="3" fontId="7" fillId="0" borderId="102" xfId="0" applyNumberFormat="1" applyFont="1" applyBorder="1" applyAlignment="1">
      <alignment vertical="center"/>
    </xf>
    <xf numFmtId="5" fontId="7" fillId="14" borderId="83" xfId="0" applyNumberFormat="1" applyFont="1" applyFill="1" applyBorder="1" applyAlignment="1">
      <alignment vertical="center"/>
    </xf>
    <xf numFmtId="38" fontId="7" fillId="15" borderId="106" xfId="4" applyNumberFormat="1" applyFont="1" applyFill="1" applyBorder="1" applyAlignment="1">
      <alignment horizontal="right" vertical="center"/>
    </xf>
    <xf numFmtId="177" fontId="7" fillId="15" borderId="106" xfId="4" applyNumberFormat="1" applyFont="1" applyFill="1" applyBorder="1" applyAlignment="1">
      <alignment horizontal="right" vertical="center"/>
    </xf>
    <xf numFmtId="3" fontId="7" fillId="0" borderId="98" xfId="0" quotePrefix="1" applyNumberFormat="1" applyFont="1" applyBorder="1" applyAlignment="1">
      <alignment vertical="center"/>
    </xf>
    <xf numFmtId="3" fontId="7" fillId="0" borderId="106" xfId="0" applyNumberFormat="1" applyFont="1" applyBorder="1" applyAlignment="1">
      <alignment vertical="center"/>
    </xf>
    <xf numFmtId="174" fontId="7" fillId="0" borderId="34" xfId="0" applyNumberFormat="1" applyFont="1" applyBorder="1" applyAlignment="1">
      <alignment horizontal="center" vertical="center"/>
    </xf>
    <xf numFmtId="3" fontId="7" fillId="0" borderId="34" xfId="0" applyNumberFormat="1" applyFont="1" applyBorder="1" applyAlignment="1">
      <alignment vertical="center"/>
    </xf>
    <xf numFmtId="37" fontId="7" fillId="0" borderId="34" xfId="0" applyNumberFormat="1" applyFont="1" applyBorder="1" applyAlignment="1">
      <alignment vertical="center"/>
    </xf>
    <xf numFmtId="177" fontId="7" fillId="0" borderId="91" xfId="4" applyNumberFormat="1" applyFont="1" applyBorder="1" applyAlignment="1">
      <alignment horizontal="right" vertical="center"/>
    </xf>
    <xf numFmtId="177" fontId="7" fillId="0" borderId="102" xfId="4" applyNumberFormat="1" applyFont="1" applyBorder="1" applyAlignment="1">
      <alignment horizontal="right" vertical="center"/>
    </xf>
    <xf numFmtId="3" fontId="7" fillId="0" borderId="91" xfId="0" quotePrefix="1" applyNumberFormat="1" applyFont="1" applyBorder="1" applyAlignment="1">
      <alignment vertical="center"/>
    </xf>
    <xf numFmtId="177" fontId="7" fillId="0" borderId="89" xfId="4" applyNumberFormat="1" applyFont="1" applyBorder="1" applyAlignment="1">
      <alignment horizontal="right" vertical="center"/>
    </xf>
    <xf numFmtId="177" fontId="7" fillId="0" borderId="103" xfId="4" applyNumberFormat="1" applyFont="1" applyBorder="1" applyAlignment="1">
      <alignment horizontal="right" vertical="center"/>
    </xf>
    <xf numFmtId="3" fontId="7" fillId="0" borderId="89" xfId="0" quotePrefix="1" applyNumberFormat="1" applyFont="1" applyBorder="1" applyAlignment="1">
      <alignment vertical="center"/>
    </xf>
    <xf numFmtId="3" fontId="7" fillId="0" borderId="103" xfId="0" applyNumberFormat="1" applyFont="1" applyBorder="1" applyAlignment="1">
      <alignment vertical="center"/>
    </xf>
    <xf numFmtId="0" fontId="14" fillId="0" borderId="17" xfId="0" applyFont="1" applyBorder="1" applyAlignment="1">
      <alignment horizontal="center" vertical="center"/>
    </xf>
    <xf numFmtId="5" fontId="39" fillId="0" borderId="34" xfId="4" applyNumberFormat="1" applyFont="1" applyFill="1" applyBorder="1" applyAlignment="1" applyProtection="1">
      <alignment vertical="center"/>
    </xf>
    <xf numFmtId="5" fontId="39" fillId="18" borderId="6" xfId="4" applyNumberFormat="1" applyFont="1" applyFill="1" applyBorder="1" applyAlignment="1" applyProtection="1">
      <alignment vertical="center"/>
    </xf>
    <xf numFmtId="0" fontId="38" fillId="14" borderId="9" xfId="0" applyFont="1" applyFill="1" applyBorder="1" applyAlignment="1">
      <alignment horizontal="center" vertical="center"/>
    </xf>
    <xf numFmtId="0" fontId="41" fillId="17" borderId="0" xfId="0" applyFont="1" applyFill="1" applyAlignment="1">
      <alignment horizontal="center" vertical="center"/>
    </xf>
    <xf numFmtId="0" fontId="41" fillId="17" borderId="87" xfId="0" applyFont="1" applyFill="1" applyBorder="1" applyAlignment="1">
      <alignment horizontal="center" vertical="center"/>
    </xf>
    <xf numFmtId="178" fontId="7" fillId="16" borderId="34" xfId="4" applyNumberFormat="1" applyFont="1" applyFill="1" applyBorder="1" applyAlignment="1">
      <alignment horizontal="right" vertical="center"/>
    </xf>
    <xf numFmtId="38" fontId="7" fillId="16" borderId="34" xfId="4" applyNumberFormat="1" applyFont="1" applyFill="1" applyBorder="1" applyAlignment="1">
      <alignment horizontal="right" vertical="center"/>
    </xf>
    <xf numFmtId="0" fontId="47" fillId="0" borderId="0" xfId="0" applyFont="1" applyAlignment="1">
      <alignment horizontal="left"/>
    </xf>
    <xf numFmtId="0" fontId="39" fillId="12" borderId="9" xfId="0" applyFont="1" applyFill="1" applyBorder="1" applyAlignment="1">
      <alignment horizontal="center" vertical="center" wrapText="1"/>
    </xf>
    <xf numFmtId="0" fontId="39" fillId="12" borderId="9" xfId="0" applyFont="1" applyFill="1" applyBorder="1" applyAlignment="1">
      <alignment horizontal="centerContinuous" vertical="center"/>
    </xf>
    <xf numFmtId="0" fontId="39" fillId="12" borderId="9" xfId="0" applyFont="1" applyFill="1" applyBorder="1" applyAlignment="1">
      <alignment horizontal="center" vertical="center"/>
    </xf>
    <xf numFmtId="0" fontId="14" fillId="14" borderId="9" xfId="0" applyFont="1" applyFill="1" applyBorder="1" applyAlignment="1">
      <alignment horizontal="center" vertical="center"/>
    </xf>
    <xf numFmtId="0" fontId="37" fillId="12" borderId="118" xfId="22" applyFont="1" applyFill="1" applyBorder="1" applyAlignment="1">
      <alignment horizontal="centerContinuous" vertical="center"/>
    </xf>
    <xf numFmtId="0" fontId="37" fillId="12" borderId="119" xfId="22" applyFont="1" applyFill="1" applyBorder="1" applyAlignment="1">
      <alignment horizontal="centerContinuous" vertical="center"/>
    </xf>
    <xf numFmtId="6" fontId="7" fillId="0" borderId="89" xfId="4" applyNumberFormat="1" applyFont="1" applyBorder="1" applyAlignment="1">
      <alignment horizontal="right" vertical="center"/>
    </xf>
    <xf numFmtId="0" fontId="7" fillId="12" borderId="6" xfId="22" applyFill="1" applyBorder="1" applyAlignment="1">
      <alignment vertical="center"/>
    </xf>
    <xf numFmtId="0" fontId="37" fillId="12" borderId="6" xfId="22" applyFont="1" applyFill="1" applyBorder="1" applyAlignment="1">
      <alignment horizontal="centerContinuous" vertical="center"/>
    </xf>
    <xf numFmtId="0" fontId="45" fillId="12" borderId="6" xfId="22" applyFont="1" applyFill="1" applyBorder="1" applyAlignment="1">
      <alignment horizontal="centerContinuous" vertical="center"/>
    </xf>
    <xf numFmtId="0" fontId="7" fillId="12" borderId="6" xfId="22" applyFill="1" applyBorder="1" applyAlignment="1">
      <alignment horizontal="centerContinuous" vertical="center"/>
    </xf>
    <xf numFmtId="0" fontId="7" fillId="12" borderId="6" xfId="22" applyFill="1" applyBorder="1"/>
    <xf numFmtId="0" fontId="40" fillId="12" borderId="6" xfId="22" applyFont="1" applyFill="1" applyBorder="1" applyAlignment="1">
      <alignment horizontal="centerContinuous" vertical="center"/>
    </xf>
    <xf numFmtId="0" fontId="40" fillId="12" borderId="6" xfId="22" quotePrefix="1" applyFont="1" applyFill="1" applyBorder="1" applyAlignment="1">
      <alignment horizontal="centerContinuous" vertical="center"/>
    </xf>
    <xf numFmtId="0" fontId="14" fillId="12" borderId="6" xfId="22" applyFont="1" applyFill="1" applyBorder="1" applyAlignment="1">
      <alignment horizontal="center" vertical="center"/>
    </xf>
    <xf numFmtId="0" fontId="41" fillId="12" borderId="6" xfId="22" applyFont="1" applyFill="1" applyBorder="1" applyAlignment="1">
      <alignment horizontal="center" vertical="center"/>
    </xf>
    <xf numFmtId="0" fontId="42" fillId="12" borderId="6" xfId="22" applyFont="1" applyFill="1" applyBorder="1" applyAlignment="1">
      <alignment vertical="center"/>
    </xf>
    <xf numFmtId="174" fontId="7" fillId="15" borderId="6" xfId="22" applyNumberFormat="1" applyFill="1" applyBorder="1" applyAlignment="1">
      <alignment horizontal="center" vertical="center"/>
    </xf>
    <xf numFmtId="38" fontId="7" fillId="15" borderId="6"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9" fontId="7" fillId="15" borderId="6" xfId="16" applyFont="1" applyFill="1" applyBorder="1" applyAlignment="1">
      <alignment horizontal="right" vertical="center"/>
    </xf>
    <xf numFmtId="6" fontId="7" fillId="0" borderId="6" xfId="4" applyNumberFormat="1" applyFont="1" applyFill="1" applyBorder="1" applyAlignment="1">
      <alignment horizontal="right" vertical="center"/>
    </xf>
    <xf numFmtId="174" fontId="7" fillId="0" borderId="6" xfId="22" applyNumberFormat="1" applyBorder="1" applyAlignment="1">
      <alignment horizontal="center" vertical="center"/>
    </xf>
    <xf numFmtId="37" fontId="7" fillId="0" borderId="6" xfId="22" applyNumberFormat="1" applyBorder="1" applyAlignment="1">
      <alignment vertical="center"/>
    </xf>
    <xf numFmtId="38" fontId="7" fillId="0" borderId="6" xfId="4" applyNumberFormat="1" applyFont="1" applyFill="1" applyBorder="1" applyAlignment="1">
      <alignment horizontal="right" vertical="center"/>
    </xf>
    <xf numFmtId="38" fontId="7" fillId="0" borderId="6" xfId="4" applyNumberFormat="1" applyFont="1" applyBorder="1" applyAlignment="1">
      <alignment horizontal="right" vertical="center"/>
    </xf>
    <xf numFmtId="175" fontId="7" fillId="0" borderId="6" xfId="19" applyNumberFormat="1" applyFont="1" applyBorder="1" applyAlignment="1">
      <alignment horizontal="right" vertical="center"/>
    </xf>
    <xf numFmtId="6" fontId="7" fillId="0" borderId="6" xfId="4" applyNumberFormat="1" applyFont="1" applyBorder="1" applyAlignment="1">
      <alignment horizontal="right" vertical="center"/>
    </xf>
    <xf numFmtId="0" fontId="14" fillId="0" borderId="6" xfId="22" applyFont="1" applyBorder="1" applyAlignment="1">
      <alignment horizontal="center" vertical="center"/>
    </xf>
    <xf numFmtId="38" fontId="7" fillId="0" borderId="6" xfId="4" applyNumberFormat="1" applyFont="1" applyBorder="1" applyAlignment="1">
      <alignment vertical="center"/>
    </xf>
    <xf numFmtId="0" fontId="7" fillId="0" borderId="6" xfId="22" applyBorder="1" applyAlignment="1">
      <alignment vertical="center"/>
    </xf>
    <xf numFmtId="5" fontId="7" fillId="0" borderId="6" xfId="22" applyNumberFormat="1" applyBorder="1" applyAlignment="1">
      <alignment vertical="center"/>
    </xf>
    <xf numFmtId="0" fontId="47" fillId="0" borderId="0" xfId="22" applyFont="1" applyAlignment="1">
      <alignment horizontal="left"/>
    </xf>
    <xf numFmtId="0" fontId="7" fillId="13" borderId="81" xfId="22" applyFill="1" applyBorder="1"/>
    <xf numFmtId="173" fontId="36" fillId="12" borderId="96" xfId="22" applyNumberFormat="1" applyFont="1" applyFill="1" applyBorder="1" applyAlignment="1">
      <alignment horizontal="left" vertical="center"/>
    </xf>
    <xf numFmtId="0" fontId="7" fillId="12" borderId="120" xfId="22" applyFill="1" applyBorder="1"/>
    <xf numFmtId="37" fontId="7" fillId="17" borderId="0" xfId="22" applyNumberFormat="1" applyFill="1"/>
    <xf numFmtId="0" fontId="36" fillId="12" borderId="82" xfId="22" applyFont="1" applyFill="1" applyBorder="1" applyAlignment="1">
      <alignment horizontal="right" vertical="center"/>
    </xf>
    <xf numFmtId="0" fontId="36" fillId="12" borderId="37" xfId="22" applyFont="1" applyFill="1" applyBorder="1" applyAlignment="1">
      <alignment horizontal="center" vertical="center"/>
    </xf>
    <xf numFmtId="0" fontId="36" fillId="12" borderId="37" xfId="22" applyFont="1" applyFill="1" applyBorder="1" applyAlignment="1">
      <alignment horizontal="right" vertical="center"/>
    </xf>
    <xf numFmtId="0" fontId="36" fillId="12" borderId="85" xfId="22" applyFont="1" applyFill="1" applyBorder="1" applyAlignment="1">
      <alignment horizontal="right" vertical="center"/>
    </xf>
    <xf numFmtId="177" fontId="7" fillId="15" borderId="91" xfId="4" applyNumberFormat="1" applyFont="1" applyFill="1" applyBorder="1" applyAlignment="1">
      <alignment horizontal="right" vertical="center"/>
    </xf>
    <xf numFmtId="177" fontId="7" fillId="15" borderId="102" xfId="4" applyNumberFormat="1" applyFont="1" applyFill="1" applyBorder="1" applyAlignment="1">
      <alignment horizontal="right" vertical="center"/>
    </xf>
    <xf numFmtId="5" fontId="7" fillId="0" borderId="121" xfId="22" applyNumberFormat="1" applyBorder="1" applyAlignment="1">
      <alignment vertical="center"/>
    </xf>
    <xf numFmtId="177" fontId="7" fillId="15" borderId="98" xfId="4" applyNumberFormat="1" applyFont="1" applyFill="1" applyBorder="1" applyAlignment="1">
      <alignment horizontal="right" vertical="center"/>
    </xf>
    <xf numFmtId="5" fontId="7" fillId="0" borderId="122" xfId="22" applyNumberFormat="1" applyBorder="1" applyAlignment="1">
      <alignment vertical="center"/>
    </xf>
    <xf numFmtId="5" fontId="7" fillId="0" borderId="114" xfId="22" applyNumberFormat="1" applyBorder="1" applyAlignment="1">
      <alignment vertical="center"/>
    </xf>
    <xf numFmtId="5" fontId="7" fillId="0" borderId="120" xfId="22" applyNumberFormat="1" applyBorder="1" applyAlignment="1">
      <alignment vertical="center"/>
    </xf>
    <xf numFmtId="6" fontId="7" fillId="0" borderId="104" xfId="4" applyNumberFormat="1" applyFont="1" applyBorder="1" applyAlignment="1">
      <alignment horizontal="right" vertical="center"/>
    </xf>
    <xf numFmtId="6" fontId="7" fillId="0" borderId="117" xfId="4" applyNumberFormat="1" applyFont="1" applyBorder="1" applyAlignment="1">
      <alignment horizontal="right" vertical="center"/>
    </xf>
    <xf numFmtId="0" fontId="7" fillId="12" borderId="86" xfId="22" applyFill="1" applyBorder="1" applyAlignment="1">
      <alignment wrapText="1"/>
    </xf>
    <xf numFmtId="0" fontId="40" fillId="12" borderId="27" xfId="22" applyFont="1" applyFill="1" applyBorder="1" applyAlignment="1">
      <alignment horizontal="center" vertical="center" wrapText="1"/>
    </xf>
    <xf numFmtId="0" fontId="40" fillId="12" borderId="82" xfId="22" applyFont="1" applyFill="1" applyBorder="1" applyAlignment="1">
      <alignment horizontal="center" vertical="center" wrapText="1"/>
    </xf>
    <xf numFmtId="0" fontId="40" fillId="12" borderId="82" xfId="22" quotePrefix="1" applyFont="1" applyFill="1" applyBorder="1" applyAlignment="1">
      <alignment horizontal="center" vertical="center" wrapText="1"/>
    </xf>
    <xf numFmtId="0" fontId="40" fillId="12" borderId="0" xfId="22" applyFont="1" applyFill="1" applyAlignment="1">
      <alignment horizontal="center" vertical="center" wrapText="1"/>
    </xf>
    <xf numFmtId="0" fontId="40" fillId="12" borderId="109" xfId="22" applyFont="1" applyFill="1" applyBorder="1" applyAlignment="1">
      <alignment horizontal="center" vertical="center" wrapText="1"/>
    </xf>
    <xf numFmtId="0" fontId="40" fillId="12" borderId="87" xfId="22" applyFont="1" applyFill="1" applyBorder="1" applyAlignment="1">
      <alignment horizontal="center" vertical="center" wrapText="1"/>
    </xf>
    <xf numFmtId="0" fontId="7" fillId="14" borderId="27" xfId="22" applyFill="1" applyBorder="1" applyAlignment="1">
      <alignment vertical="center" wrapText="1"/>
    </xf>
    <xf numFmtId="0" fontId="7" fillId="14" borderId="86" xfId="22" applyFill="1" applyBorder="1" applyAlignment="1">
      <alignment vertical="center" wrapText="1"/>
    </xf>
    <xf numFmtId="0" fontId="14" fillId="12" borderId="86" xfId="22" applyFont="1" applyFill="1" applyBorder="1" applyAlignment="1">
      <alignment horizontal="center" vertical="center" wrapText="1"/>
    </xf>
    <xf numFmtId="0" fontId="41" fillId="12" borderId="0" xfId="22" applyFont="1" applyFill="1" applyAlignment="1">
      <alignment horizontal="center" vertical="center" wrapText="1"/>
    </xf>
    <xf numFmtId="0" fontId="41" fillId="12" borderId="87" xfId="22" applyFont="1" applyFill="1" applyBorder="1" applyAlignment="1">
      <alignment horizontal="center" vertical="center" wrapText="1"/>
    </xf>
    <xf numFmtId="0" fontId="41" fillId="12" borderId="27" xfId="22" applyFont="1" applyFill="1" applyBorder="1" applyAlignment="1">
      <alignment horizontal="center" vertical="center" wrapText="1"/>
    </xf>
    <xf numFmtId="0" fontId="41" fillId="12" borderId="109" xfId="22" applyFont="1" applyFill="1" applyBorder="1" applyAlignment="1">
      <alignment horizontal="center" vertical="center" wrapText="1"/>
    </xf>
    <xf numFmtId="0" fontId="14" fillId="14" borderId="27" xfId="22" applyFont="1" applyFill="1" applyBorder="1" applyAlignment="1">
      <alignment horizontal="center" vertical="center" wrapText="1"/>
    </xf>
    <xf numFmtId="0" fontId="14" fillId="14" borderId="86" xfId="22" applyFont="1" applyFill="1" applyBorder="1" applyAlignment="1">
      <alignment horizontal="center" vertical="center" wrapText="1"/>
    </xf>
    <xf numFmtId="0" fontId="42" fillId="12" borderId="33" xfId="22" applyFont="1" applyFill="1" applyBorder="1" applyAlignment="1">
      <alignment vertical="center" wrapText="1"/>
    </xf>
    <xf numFmtId="0" fontId="41" fillId="12" borderId="37" xfId="22" applyFont="1" applyFill="1" applyBorder="1" applyAlignment="1">
      <alignment horizontal="center" vertical="center" wrapText="1"/>
    </xf>
    <xf numFmtId="0" fontId="41" fillId="12" borderId="88" xfId="22" applyFont="1" applyFill="1" applyBorder="1" applyAlignment="1">
      <alignment horizontal="center" vertical="center" wrapText="1"/>
    </xf>
    <xf numFmtId="0" fontId="41" fillId="12" borderId="30" xfId="22" applyFont="1" applyFill="1" applyBorder="1" applyAlignment="1">
      <alignment horizontal="center" vertical="center" wrapText="1"/>
    </xf>
    <xf numFmtId="0" fontId="41" fillId="12" borderId="113" xfId="22" applyFont="1" applyFill="1" applyBorder="1" applyAlignment="1">
      <alignment horizontal="center" vertical="center" wrapText="1"/>
    </xf>
    <xf numFmtId="0" fontId="14" fillId="14" borderId="30" xfId="22" applyFont="1" applyFill="1" applyBorder="1" applyAlignment="1">
      <alignment horizontal="center" vertical="center" wrapText="1"/>
    </xf>
    <xf numFmtId="0" fontId="14" fillId="14" borderId="33" xfId="22" applyFont="1" applyFill="1" applyBorder="1" applyAlignment="1">
      <alignment horizontal="center" vertical="center" wrapText="1"/>
    </xf>
    <xf numFmtId="0" fontId="19" fillId="7" borderId="6" xfId="0" applyFont="1" applyFill="1" applyBorder="1" applyAlignment="1">
      <alignment horizontal="center" vertical="center"/>
    </xf>
    <xf numFmtId="0" fontId="19" fillId="7" borderId="33"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21" fillId="4" borderId="6" xfId="0" applyFont="1" applyFill="1" applyBorder="1" applyAlignment="1">
      <alignment horizontal="center" vertical="center"/>
    </xf>
    <xf numFmtId="0" fontId="21" fillId="6" borderId="6" xfId="0" applyFont="1" applyFill="1" applyBorder="1" applyAlignment="1">
      <alignment horizontal="center" vertical="center" wrapText="1"/>
    </xf>
    <xf numFmtId="0" fontId="19" fillId="7" borderId="17" xfId="0" applyFont="1" applyFill="1" applyBorder="1" applyAlignment="1">
      <alignment horizontal="center" vertical="center"/>
    </xf>
    <xf numFmtId="0" fontId="0" fillId="0" borderId="0" xfId="0" applyAlignment="1">
      <alignment horizontal="left" vertical="top" wrapText="1"/>
    </xf>
    <xf numFmtId="0" fontId="0" fillId="4" borderId="6" xfId="0" applyFill="1" applyBorder="1" applyAlignment="1">
      <alignment horizontal="center" vertical="center"/>
    </xf>
    <xf numFmtId="0" fontId="21" fillId="6" borderId="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6" fontId="0" fillId="5" borderId="22" xfId="0" applyNumberFormat="1" applyFill="1" applyBorder="1" applyAlignment="1">
      <alignment horizontal="center" vertical="center"/>
    </xf>
    <xf numFmtId="6" fontId="0" fillId="5" borderId="6" xfId="0" applyNumberFormat="1" applyFill="1" applyBorder="1" applyAlignment="1">
      <alignment horizontal="center" vertical="center"/>
    </xf>
    <xf numFmtId="6" fontId="0" fillId="5" borderId="18" xfId="0" applyNumberFormat="1" applyFill="1" applyBorder="1" applyAlignment="1">
      <alignment horizontal="center" vertical="center"/>
    </xf>
    <xf numFmtId="6" fontId="0" fillId="0" borderId="6" xfId="0" applyNumberFormat="1" applyBorder="1" applyAlignment="1">
      <alignment horizontal="center" vertical="center"/>
    </xf>
    <xf numFmtId="6" fontId="0" fillId="0" borderId="18" xfId="0" applyNumberFormat="1" applyBorder="1" applyAlignment="1">
      <alignment horizontal="center" vertical="center"/>
    </xf>
    <xf numFmtId="6" fontId="0" fillId="0" borderId="22" xfId="0" applyNumberFormat="1" applyBorder="1" applyAlignment="1">
      <alignment horizontal="center" vertical="center"/>
    </xf>
    <xf numFmtId="0" fontId="10" fillId="0" borderId="6" xfId="0" applyFont="1" applyBorder="1" applyAlignment="1">
      <alignment horizontal="center" wrapText="1"/>
    </xf>
    <xf numFmtId="0" fontId="0" fillId="0" borderId="17" xfId="0" applyBorder="1" applyAlignment="1">
      <alignment horizontal="left" vertical="top" wrapText="1"/>
    </xf>
    <xf numFmtId="0" fontId="0" fillId="0" borderId="14" xfId="0" applyBorder="1" applyAlignment="1">
      <alignment horizontal="left" vertical="top"/>
    </xf>
    <xf numFmtId="0" fontId="10" fillId="3" borderId="17" xfId="0" applyFont="1" applyFill="1" applyBorder="1" applyAlignment="1">
      <alignment horizontal="left"/>
    </xf>
    <xf numFmtId="0" fontId="10" fillId="3" borderId="14" xfId="0" applyFont="1" applyFill="1" applyBorder="1" applyAlignment="1">
      <alignment horizontal="left"/>
    </xf>
    <xf numFmtId="0" fontId="10" fillId="3" borderId="0" xfId="0" applyFont="1" applyFill="1" applyAlignment="1">
      <alignment horizontal="left" vertical="top"/>
    </xf>
    <xf numFmtId="0" fontId="10" fillId="3" borderId="6" xfId="0" applyFont="1" applyFill="1" applyBorder="1" applyAlignment="1">
      <alignment horizontal="center" vertical="top"/>
    </xf>
    <xf numFmtId="0" fontId="10" fillId="0" borderId="17" xfId="0" applyFont="1" applyBorder="1" applyAlignment="1">
      <alignment horizontal="center" wrapText="1"/>
    </xf>
    <xf numFmtId="0" fontId="10" fillId="0" borderId="14" xfId="0" applyFont="1" applyBorder="1" applyAlignment="1">
      <alignment horizontal="center" wrapText="1"/>
    </xf>
    <xf numFmtId="0" fontId="0" fillId="0" borderId="14" xfId="0" applyBorder="1" applyAlignment="1">
      <alignment horizontal="left" vertical="top" wrapText="1"/>
    </xf>
    <xf numFmtId="0" fontId="10" fillId="3" borderId="45" xfId="0" applyFont="1" applyFill="1" applyBorder="1" applyAlignment="1">
      <alignment horizontal="left" vertical="center" wrapText="1" indent="1"/>
    </xf>
    <xf numFmtId="0" fontId="10" fillId="3" borderId="27" xfId="0" applyFont="1" applyFill="1" applyBorder="1" applyAlignment="1">
      <alignment horizontal="left" vertical="center" wrapText="1" indent="1"/>
    </xf>
    <xf numFmtId="0" fontId="10" fillId="3" borderId="30" xfId="0" applyFont="1" applyFill="1" applyBorder="1" applyAlignment="1">
      <alignment horizontal="left" vertical="center" wrapText="1" indent="1"/>
    </xf>
    <xf numFmtId="167" fontId="0" fillId="0" borderId="17" xfId="0" applyNumberFormat="1" applyBorder="1" applyAlignment="1">
      <alignment horizontal="center" vertical="center" wrapText="1"/>
    </xf>
    <xf numFmtId="167" fontId="0" fillId="0" borderId="34" xfId="0" applyNumberFormat="1" applyBorder="1" applyAlignment="1">
      <alignment horizontal="center" vertical="center" wrapText="1"/>
    </xf>
    <xf numFmtId="167" fontId="0" fillId="0" borderId="14" xfId="0" applyNumberFormat="1" applyBorder="1" applyAlignment="1">
      <alignment horizontal="center" vertical="center" wrapText="1"/>
    </xf>
    <xf numFmtId="0" fontId="0" fillId="0" borderId="17" xfId="0"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wrapText="1"/>
    </xf>
    <xf numFmtId="0" fontId="0" fillId="0" borderId="6" xfId="0" applyBorder="1" applyAlignment="1">
      <alignment horizontal="center" vertical="top" wrapText="1"/>
    </xf>
    <xf numFmtId="167" fontId="0" fillId="0" borderId="17" xfId="0" applyNumberFormat="1" applyBorder="1" applyAlignment="1">
      <alignment horizontal="center" vertical="top"/>
    </xf>
    <xf numFmtId="0" fontId="0" fillId="0" borderId="6" xfId="0" applyBorder="1" applyAlignment="1">
      <alignment horizontal="left" vertical="top" wrapText="1"/>
    </xf>
    <xf numFmtId="0" fontId="0" fillId="0" borderId="14" xfId="0" applyBorder="1" applyAlignment="1">
      <alignment horizontal="center" vertical="top" wrapText="1"/>
    </xf>
    <xf numFmtId="0" fontId="0" fillId="0" borderId="6" xfId="0" applyBorder="1" applyAlignment="1">
      <alignment horizontal="left" vertical="top"/>
    </xf>
    <xf numFmtId="167" fontId="0" fillId="0" borderId="14" xfId="0" applyNumberFormat="1" applyBorder="1" applyAlignment="1">
      <alignment horizontal="center" vertical="top"/>
    </xf>
    <xf numFmtId="0" fontId="7" fillId="0" borderId="6" xfId="9" applyFill="1" applyBorder="1" applyAlignment="1">
      <alignment horizontal="center"/>
    </xf>
    <xf numFmtId="0" fontId="0" fillId="0" borderId="0" xfId="0" applyAlignment="1">
      <alignment horizontal="center" wrapText="1"/>
    </xf>
    <xf numFmtId="0" fontId="7" fillId="0" borderId="6" xfId="9" applyBorder="1" applyAlignment="1">
      <alignment horizontal="center"/>
    </xf>
    <xf numFmtId="0" fontId="7" fillId="0" borderId="6" xfId="9" applyBorder="1" applyAlignment="1">
      <alignment horizontal="left"/>
    </xf>
    <xf numFmtId="0" fontId="7" fillId="2" borderId="6" xfId="9" applyFill="1" applyBorder="1" applyAlignment="1">
      <alignment horizontal="left"/>
    </xf>
    <xf numFmtId="0" fontId="7" fillId="0" borderId="9" xfId="9" applyFill="1" applyBorder="1" applyAlignment="1">
      <alignment horizontal="left"/>
    </xf>
    <xf numFmtId="0" fontId="10" fillId="0" borderId="0" xfId="0" applyFont="1" applyAlignment="1">
      <alignment horizontal="left"/>
    </xf>
    <xf numFmtId="0" fontId="39" fillId="12" borderId="86" xfId="22" applyFont="1" applyFill="1" applyBorder="1" applyAlignment="1">
      <alignment horizontal="center" wrapText="1"/>
    </xf>
    <xf numFmtId="0" fontId="39" fillId="0" borderId="86" xfId="22" applyFont="1" applyBorder="1" applyAlignment="1">
      <alignment horizontal="center" wrapText="1"/>
    </xf>
    <xf numFmtId="0" fontId="39" fillId="0" borderId="33" xfId="22" applyFont="1" applyBorder="1" applyAlignment="1">
      <alignment horizontal="center" wrapText="1"/>
    </xf>
    <xf numFmtId="0" fontId="39" fillId="12" borderId="86" xfId="0" applyFont="1" applyFill="1" applyBorder="1" applyAlignment="1">
      <alignment horizontal="center" vertical="center"/>
    </xf>
    <xf numFmtId="0" fontId="39" fillId="12" borderId="33" xfId="0" applyFont="1" applyFill="1" applyBorder="1" applyAlignment="1">
      <alignment horizontal="center" vertical="center"/>
    </xf>
    <xf numFmtId="0" fontId="10" fillId="0" borderId="0" xfId="0" applyFont="1" applyAlignment="1">
      <alignment horizontal="center"/>
    </xf>
    <xf numFmtId="0" fontId="7" fillId="0" borderId="0" xfId="9" applyAlignment="1">
      <alignment horizontal="left"/>
    </xf>
    <xf numFmtId="0" fontId="10" fillId="0" borderId="0" xfId="0" applyFont="1" applyAlignment="1"/>
    <xf numFmtId="0" fontId="49" fillId="17" borderId="17" xfId="22" applyFont="1" applyFill="1" applyBorder="1" applyAlignment="1">
      <alignment horizontal="center" vertical="center"/>
    </xf>
    <xf numFmtId="0" fontId="49" fillId="17" borderId="34" xfId="22" applyFont="1" applyFill="1" applyBorder="1" applyAlignment="1">
      <alignment horizontal="center" vertical="center"/>
    </xf>
    <xf numFmtId="0" fontId="49" fillId="17" borderId="14" xfId="22" applyFont="1" applyFill="1" applyBorder="1" applyAlignment="1">
      <alignment horizontal="center" vertical="center"/>
    </xf>
    <xf numFmtId="0" fontId="39" fillId="12" borderId="33" xfId="22" applyFont="1" applyFill="1" applyBorder="1" applyAlignment="1">
      <alignment horizontal="center" wrapText="1"/>
    </xf>
    <xf numFmtId="0" fontId="32" fillId="0" borderId="17" xfId="0" applyFont="1" applyBorder="1" applyAlignment="1">
      <alignment horizontal="left" vertical="top" wrapText="1"/>
    </xf>
    <xf numFmtId="0" fontId="32" fillId="0" borderId="14" xfId="0" applyFont="1" applyBorder="1" applyAlignment="1">
      <alignment horizontal="left" vertical="top" wrapText="1"/>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10" fillId="8" borderId="6" xfId="0" applyFont="1" applyFill="1" applyBorder="1" applyAlignment="1">
      <alignment horizontal="left" vertical="top" wrapText="1"/>
    </xf>
    <xf numFmtId="0" fontId="10" fillId="0" borderId="28" xfId="0" applyFont="1" applyBorder="1" applyAlignment="1">
      <alignment horizontal="center"/>
    </xf>
    <xf numFmtId="0" fontId="1" fillId="0" borderId="0" xfId="1" applyAlignment="1">
      <alignment horizontal="left"/>
    </xf>
    <xf numFmtId="0" fontId="2" fillId="0" borderId="0" xfId="1" applyFont="1" applyAlignment="1">
      <alignment horizontal="left"/>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67" xfId="0" applyFont="1" applyBorder="1" applyAlignment="1">
      <alignment horizontal="center" wrapText="1"/>
    </xf>
    <xf numFmtId="0" fontId="10" fillId="0" borderId="13" xfId="0" applyFont="1" applyBorder="1" applyAlignment="1">
      <alignment horizontal="center" wrapText="1"/>
    </xf>
    <xf numFmtId="0" fontId="10" fillId="0" borderId="40" xfId="0" applyFont="1" applyBorder="1" applyAlignment="1">
      <alignment horizontal="center" wrapText="1"/>
    </xf>
    <xf numFmtId="0" fontId="10" fillId="0" borderId="50" xfId="0" applyFont="1" applyBorder="1" applyAlignment="1">
      <alignment horizontal="center" wrapText="1"/>
    </xf>
    <xf numFmtId="0" fontId="10" fillId="0" borderId="68" xfId="0" applyFont="1" applyBorder="1" applyAlignment="1">
      <alignment horizontal="center" wrapText="1"/>
    </xf>
    <xf numFmtId="0" fontId="10" fillId="0" borderId="61" xfId="0" applyFont="1" applyBorder="1" applyAlignment="1">
      <alignment horizontal="center" wrapText="1"/>
    </xf>
    <xf numFmtId="0" fontId="10" fillId="0" borderId="41" xfId="0" applyFont="1" applyBorder="1" applyAlignment="1">
      <alignment horizontal="center" wrapText="1"/>
    </xf>
    <xf numFmtId="0" fontId="10" fillId="0" borderId="59" xfId="0" applyFont="1" applyBorder="1" applyAlignment="1">
      <alignment horizontal="center" wrapText="1"/>
    </xf>
    <xf numFmtId="0" fontId="10" fillId="0" borderId="69" xfId="0" applyFont="1" applyBorder="1" applyAlignment="1">
      <alignment horizontal="center" wrapText="1"/>
    </xf>
    <xf numFmtId="0" fontId="10" fillId="0" borderId="58" xfId="0" applyFont="1" applyBorder="1" applyAlignment="1">
      <alignment horizontal="center" wrapText="1"/>
    </xf>
    <xf numFmtId="49" fontId="27" fillId="0" borderId="46" xfId="0" applyNumberFormat="1" applyFont="1" applyBorder="1" applyAlignment="1">
      <alignment horizontal="center" vertical="center" textRotation="90" wrapText="1"/>
    </xf>
    <xf numFmtId="49" fontId="27" fillId="0" borderId="66" xfId="0" applyNumberFormat="1" applyFont="1" applyBorder="1" applyAlignment="1">
      <alignment horizontal="center" vertical="center" textRotation="90" wrapText="1"/>
    </xf>
    <xf numFmtId="0" fontId="10" fillId="0" borderId="24" xfId="0" applyFont="1" applyBorder="1" applyAlignment="1">
      <alignment horizontal="center" wrapText="1"/>
    </xf>
    <xf numFmtId="0" fontId="10" fillId="0" borderId="3" xfId="0" applyFont="1" applyBorder="1" applyAlignment="1">
      <alignment horizontal="center" wrapText="1"/>
    </xf>
    <xf numFmtId="0" fontId="10" fillId="0" borderId="21" xfId="0" applyFont="1" applyBorder="1" applyAlignment="1">
      <alignment horizontal="center" wrapText="1"/>
    </xf>
    <xf numFmtId="0" fontId="28" fillId="0" borderId="24" xfId="0" applyFont="1" applyBorder="1" applyAlignment="1">
      <alignment horizontal="center" wrapText="1"/>
    </xf>
    <xf numFmtId="0" fontId="28" fillId="0" borderId="3" xfId="0" applyFont="1" applyBorder="1" applyAlignment="1">
      <alignment horizontal="center" wrapText="1"/>
    </xf>
    <xf numFmtId="0" fontId="28" fillId="0" borderId="21" xfId="0" applyFont="1" applyBorder="1" applyAlignment="1">
      <alignment horizontal="center" wrapText="1"/>
    </xf>
    <xf numFmtId="0" fontId="31" fillId="0" borderId="46" xfId="0" applyFont="1" applyBorder="1" applyAlignment="1">
      <alignment horizontal="center" wrapText="1"/>
    </xf>
    <xf numFmtId="0" fontId="31" fillId="0" borderId="47" xfId="0" applyFont="1" applyBorder="1" applyAlignment="1">
      <alignment horizontal="center" wrapText="1"/>
    </xf>
    <xf numFmtId="0" fontId="10" fillId="10" borderId="40" xfId="0" applyFont="1" applyFill="1" applyBorder="1" applyAlignment="1">
      <alignment horizontal="center" wrapText="1"/>
    </xf>
    <xf numFmtId="0" fontId="10" fillId="10" borderId="50" xfId="0" applyFont="1" applyFill="1" applyBorder="1" applyAlignment="1">
      <alignment horizontal="center" wrapText="1"/>
    </xf>
    <xf numFmtId="0" fontId="10" fillId="0" borderId="46" xfId="0" applyFont="1" applyBorder="1" applyAlignment="1">
      <alignment horizontal="center" wrapText="1"/>
    </xf>
    <xf numFmtId="0" fontId="10" fillId="0" borderId="66" xfId="0" applyFont="1" applyBorder="1" applyAlignment="1">
      <alignment horizontal="center" wrapText="1"/>
    </xf>
    <xf numFmtId="0" fontId="10" fillId="0" borderId="47" xfId="0" applyFont="1" applyBorder="1" applyAlignment="1">
      <alignment horizontal="center" wrapText="1"/>
    </xf>
    <xf numFmtId="0" fontId="13" fillId="0" borderId="0" xfId="9" applyFont="1" applyAlignment="1">
      <alignment horizontal="left" vertical="top" wrapText="1"/>
    </xf>
    <xf numFmtId="0" fontId="7" fillId="0" borderId="0" xfId="9" applyAlignment="1"/>
    <xf numFmtId="0" fontId="13" fillId="0" borderId="0" xfId="9" applyFont="1" applyAlignment="1">
      <alignment horizontal="left"/>
    </xf>
    <xf numFmtId="0" fontId="11" fillId="0" borderId="0" xfId="9" applyFont="1" applyAlignment="1">
      <alignment horizontal="left"/>
    </xf>
    <xf numFmtId="0" fontId="12" fillId="0" borderId="0" xfId="9" applyFont="1" applyAlignment="1">
      <alignment horizontal="left" vertical="top" wrapText="1"/>
    </xf>
    <xf numFmtId="6" fontId="0" fillId="0" borderId="9" xfId="0" applyNumberFormat="1" applyBorder="1" applyAlignment="1">
      <alignment horizontal="center" vertical="center"/>
    </xf>
    <xf numFmtId="6" fontId="0" fillId="0" borderId="50" xfId="0" applyNumberFormat="1" applyBorder="1" applyAlignment="1">
      <alignment horizontal="center" vertical="center"/>
    </xf>
  </cellXfs>
  <cellStyles count="24">
    <cellStyle name="Comma" xfId="23" builtinId="3"/>
    <cellStyle name="Comma 2" xfId="4" xr:uid="{00000000-0005-0000-0000-000000000000}"/>
    <cellStyle name="Comma0" xfId="5" xr:uid="{00000000-0005-0000-0000-000001000000}"/>
    <cellStyle name="Currency" xfId="15" builtinId="4"/>
    <cellStyle name="Currency 2" xfId="2" xr:uid="{00000000-0005-0000-0000-000003000000}"/>
    <cellStyle name="Currency0" xfId="6" xr:uid="{00000000-0005-0000-0000-000004000000}"/>
    <cellStyle name="Date" xfId="7" xr:uid="{00000000-0005-0000-0000-000005000000}"/>
    <cellStyle name="Fixed" xfId="8" xr:uid="{00000000-0005-0000-0000-000006000000}"/>
    <cellStyle name="Hyperlink" xfId="17" builtinId="8"/>
    <cellStyle name="Normal" xfId="0" builtinId="0"/>
    <cellStyle name="Normal 16" xfId="9" xr:uid="{00000000-0005-0000-0000-000009000000}"/>
    <cellStyle name="Normal 17" xfId="3" xr:uid="{00000000-0005-0000-0000-00000A000000}"/>
    <cellStyle name="Normal 18" xfId="10" xr:uid="{00000000-0005-0000-0000-00000B000000}"/>
    <cellStyle name="Normal 19" xfId="11" xr:uid="{00000000-0005-0000-0000-00000C000000}"/>
    <cellStyle name="Normal 2" xfId="1" xr:uid="{00000000-0005-0000-0000-00000D000000}"/>
    <cellStyle name="Normal 2 2" xfId="18" xr:uid="{00000000-0005-0000-0000-00000E000000}"/>
    <cellStyle name="Normal 2 2 2" xfId="21" xr:uid="{A7D63167-2D54-4658-8CB3-C614BD017444}"/>
    <cellStyle name="Normal 3" xfId="12" xr:uid="{00000000-0005-0000-0000-00000F000000}"/>
    <cellStyle name="Normal 3 4" xfId="22" xr:uid="{40236DEB-5378-46D2-9176-BAEB30D70F98}"/>
    <cellStyle name="Normal 4" xfId="13" xr:uid="{00000000-0005-0000-0000-000010000000}"/>
    <cellStyle name="Normal 5" xfId="20" xr:uid="{2D9C9A83-4BE8-41EB-A946-64FD77941BD8}"/>
    <cellStyle name="Percent" xfId="16" builtinId="5"/>
    <cellStyle name="Percent 2" xfId="14" xr:uid="{00000000-0005-0000-0000-000012000000}"/>
    <cellStyle name="Percent 2 2"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13</xdr:col>
      <xdr:colOff>371475</xdr:colOff>
      <xdr:row>18</xdr:row>
      <xdr:rowOff>19050</xdr:rowOff>
    </xdr:to>
    <xdr:pic>
      <xdr:nvPicPr>
        <xdr:cNvPr id="2" name="Picture 1">
          <a:extLst>
            <a:ext uri="{FF2B5EF4-FFF2-40B4-BE49-F238E27FC236}">
              <a16:creationId xmlns:a16="http://schemas.microsoft.com/office/drawing/2014/main" id="{F36A5EFD-54C9-4261-B4E3-11EF2A506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2009775"/>
          <a:ext cx="11201400"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4</xdr:col>
      <xdr:colOff>570684</xdr:colOff>
      <xdr:row>71</xdr:row>
      <xdr:rowOff>37520</xdr:rowOff>
    </xdr:to>
    <xdr:pic>
      <xdr:nvPicPr>
        <xdr:cNvPr id="2" name="Picture 1">
          <a:extLst>
            <a:ext uri="{FF2B5EF4-FFF2-40B4-BE49-F238E27FC236}">
              <a16:creationId xmlns:a16="http://schemas.microsoft.com/office/drawing/2014/main" id="{899FE421-0AD1-4EB5-A3EF-CF665BA1B86D}"/>
            </a:ext>
          </a:extLst>
        </xdr:cNvPr>
        <xdr:cNvPicPr>
          <a:picLocks noChangeAspect="1"/>
        </xdr:cNvPicPr>
      </xdr:nvPicPr>
      <xdr:blipFill>
        <a:blip xmlns:r="http://schemas.openxmlformats.org/officeDocument/2006/relationships" r:embed="rId1"/>
        <a:stretch>
          <a:fillRect/>
        </a:stretch>
      </xdr:blipFill>
      <xdr:spPr>
        <a:xfrm>
          <a:off x="295275" y="13696950"/>
          <a:ext cx="6523809" cy="4638095"/>
        </a:xfrm>
        <a:prstGeom prst="rect">
          <a:avLst/>
        </a:prstGeom>
      </xdr:spPr>
    </xdr:pic>
    <xdr:clientData/>
  </xdr:twoCellAnchor>
  <xdr:twoCellAnchor editAs="oneCell">
    <xdr:from>
      <xdr:col>0</xdr:col>
      <xdr:colOff>238125</xdr:colOff>
      <xdr:row>83</xdr:row>
      <xdr:rowOff>123825</xdr:rowOff>
    </xdr:from>
    <xdr:to>
      <xdr:col>2</xdr:col>
      <xdr:colOff>775392</xdr:colOff>
      <xdr:row>97</xdr:row>
      <xdr:rowOff>0</xdr:rowOff>
    </xdr:to>
    <xdr:pic>
      <xdr:nvPicPr>
        <xdr:cNvPr id="3" name="Picture 2">
          <a:extLst>
            <a:ext uri="{FF2B5EF4-FFF2-40B4-BE49-F238E27FC236}">
              <a16:creationId xmlns:a16="http://schemas.microsoft.com/office/drawing/2014/main" id="{DEE6EB07-2487-4154-A7DB-48A3C252D8EB}"/>
            </a:ext>
          </a:extLst>
        </xdr:cNvPr>
        <xdr:cNvPicPr>
          <a:picLocks noChangeAspect="1"/>
        </xdr:cNvPicPr>
      </xdr:nvPicPr>
      <xdr:blipFill>
        <a:blip xmlns:r="http://schemas.openxmlformats.org/officeDocument/2006/relationships" r:embed="rId2"/>
        <a:stretch>
          <a:fillRect/>
        </a:stretch>
      </xdr:blipFill>
      <xdr:spPr>
        <a:xfrm>
          <a:off x="238125" y="18059400"/>
          <a:ext cx="4452042" cy="2676525"/>
        </a:xfrm>
        <a:prstGeom prst="rect">
          <a:avLst/>
        </a:prstGeom>
      </xdr:spPr>
    </xdr:pic>
    <xdr:clientData/>
  </xdr:twoCellAnchor>
  <xdr:twoCellAnchor editAs="oneCell">
    <xdr:from>
      <xdr:col>0</xdr:col>
      <xdr:colOff>285750</xdr:colOff>
      <xdr:row>71</xdr:row>
      <xdr:rowOff>166619</xdr:rowOff>
    </xdr:from>
    <xdr:to>
      <xdr:col>2</xdr:col>
      <xdr:colOff>1228725</xdr:colOff>
      <xdr:row>82</xdr:row>
      <xdr:rowOff>47262</xdr:rowOff>
    </xdr:to>
    <xdr:pic>
      <xdr:nvPicPr>
        <xdr:cNvPr id="4" name="Picture 3">
          <a:extLst>
            <a:ext uri="{FF2B5EF4-FFF2-40B4-BE49-F238E27FC236}">
              <a16:creationId xmlns:a16="http://schemas.microsoft.com/office/drawing/2014/main" id="{8F9F2711-F359-4A4C-AD4F-D19C5F06691E}"/>
            </a:ext>
          </a:extLst>
        </xdr:cNvPr>
        <xdr:cNvPicPr>
          <a:picLocks noChangeAspect="1"/>
        </xdr:cNvPicPr>
      </xdr:nvPicPr>
      <xdr:blipFill>
        <a:blip xmlns:r="http://schemas.openxmlformats.org/officeDocument/2006/relationships" r:embed="rId3"/>
        <a:stretch>
          <a:fillRect/>
        </a:stretch>
      </xdr:blipFill>
      <xdr:spPr>
        <a:xfrm>
          <a:off x="285750" y="20264369"/>
          <a:ext cx="4857750" cy="2080918"/>
        </a:xfrm>
        <a:prstGeom prst="rect">
          <a:avLst/>
        </a:prstGeom>
      </xdr:spPr>
    </xdr:pic>
    <xdr:clientData/>
  </xdr:twoCellAnchor>
  <xdr:twoCellAnchor editAs="oneCell">
    <xdr:from>
      <xdr:col>0</xdr:col>
      <xdr:colOff>257175</xdr:colOff>
      <xdr:row>97</xdr:row>
      <xdr:rowOff>190500</xdr:rowOff>
    </xdr:from>
    <xdr:to>
      <xdr:col>2</xdr:col>
      <xdr:colOff>599927</xdr:colOff>
      <xdr:row>111</xdr:row>
      <xdr:rowOff>180468</xdr:rowOff>
    </xdr:to>
    <xdr:pic>
      <xdr:nvPicPr>
        <xdr:cNvPr id="5" name="Picture 4">
          <a:extLst>
            <a:ext uri="{FF2B5EF4-FFF2-40B4-BE49-F238E27FC236}">
              <a16:creationId xmlns:a16="http://schemas.microsoft.com/office/drawing/2014/main" id="{0C0F9C69-526F-44A6-9A08-21B87CC8B828}"/>
            </a:ext>
          </a:extLst>
        </xdr:cNvPr>
        <xdr:cNvPicPr>
          <a:picLocks noChangeAspect="1"/>
        </xdr:cNvPicPr>
      </xdr:nvPicPr>
      <xdr:blipFill>
        <a:blip xmlns:r="http://schemas.openxmlformats.org/officeDocument/2006/relationships" r:embed="rId4"/>
        <a:stretch>
          <a:fillRect/>
        </a:stretch>
      </xdr:blipFill>
      <xdr:spPr>
        <a:xfrm>
          <a:off x="257175" y="20926425"/>
          <a:ext cx="4257527" cy="2790318"/>
        </a:xfrm>
        <a:prstGeom prst="rect">
          <a:avLst/>
        </a:prstGeom>
      </xdr:spPr>
    </xdr:pic>
    <xdr:clientData/>
  </xdr:twoCellAnchor>
  <xdr:twoCellAnchor editAs="oneCell">
    <xdr:from>
      <xdr:col>0</xdr:col>
      <xdr:colOff>219076</xdr:colOff>
      <xdr:row>112</xdr:row>
      <xdr:rowOff>104775</xdr:rowOff>
    </xdr:from>
    <xdr:to>
      <xdr:col>2</xdr:col>
      <xdr:colOff>789885</xdr:colOff>
      <xdr:row>131</xdr:row>
      <xdr:rowOff>199326</xdr:rowOff>
    </xdr:to>
    <xdr:pic>
      <xdr:nvPicPr>
        <xdr:cNvPr id="6" name="Picture 5">
          <a:extLst>
            <a:ext uri="{FF2B5EF4-FFF2-40B4-BE49-F238E27FC236}">
              <a16:creationId xmlns:a16="http://schemas.microsoft.com/office/drawing/2014/main" id="{46C53C35-DA28-4284-ACBD-6EB6272611A1}"/>
            </a:ext>
          </a:extLst>
        </xdr:cNvPr>
        <xdr:cNvPicPr>
          <a:picLocks noChangeAspect="1"/>
        </xdr:cNvPicPr>
      </xdr:nvPicPr>
      <xdr:blipFill>
        <a:blip xmlns:r="http://schemas.openxmlformats.org/officeDocument/2006/relationships" r:embed="rId5"/>
        <a:stretch>
          <a:fillRect/>
        </a:stretch>
      </xdr:blipFill>
      <xdr:spPr>
        <a:xfrm>
          <a:off x="219076" y="23841075"/>
          <a:ext cx="4485584" cy="3895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33</xdr:col>
      <xdr:colOff>170428</xdr:colOff>
      <xdr:row>34</xdr:row>
      <xdr:rowOff>113629</xdr:rowOff>
    </xdr:to>
    <xdr:pic>
      <xdr:nvPicPr>
        <xdr:cNvPr id="2" name="Picture 1">
          <a:extLst>
            <a:ext uri="{FF2B5EF4-FFF2-40B4-BE49-F238E27FC236}">
              <a16:creationId xmlns:a16="http://schemas.microsoft.com/office/drawing/2014/main" id="{D75B248F-D700-467C-8E1D-DA71E23D9D82}"/>
            </a:ext>
          </a:extLst>
        </xdr:cNvPr>
        <xdr:cNvPicPr>
          <a:picLocks noChangeAspect="1"/>
        </xdr:cNvPicPr>
      </xdr:nvPicPr>
      <xdr:blipFill>
        <a:blip xmlns:r="http://schemas.openxmlformats.org/officeDocument/2006/relationships" r:embed="rId1"/>
        <a:stretch>
          <a:fillRect/>
        </a:stretch>
      </xdr:blipFill>
      <xdr:spPr>
        <a:xfrm>
          <a:off x="10620375" y="561975"/>
          <a:ext cx="8171428" cy="53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BCONTAIR_AvionJarupaRealig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1) Project Information"/>
      <sheetName val="2) Model Inputs"/>
      <sheetName val="3) Results"/>
      <sheetName val="Travel Time"/>
      <sheetName val="Consumer Surplus"/>
      <sheetName val="Reliability"/>
      <sheetName val="Vehicle Operating Costs"/>
      <sheetName val="Accident Costs"/>
      <sheetName val="Emissions"/>
      <sheetName val="Final Calculations"/>
      <sheetName val="PARAMETERS"/>
    </sheetNames>
    <sheetDataSet>
      <sheetData sheetId="0"/>
      <sheetData sheetId="1"/>
      <sheetData sheetId="2">
        <row r="12">
          <cell r="H12">
            <v>1</v>
          </cell>
        </row>
        <row r="16">
          <cell r="F16">
            <v>2020</v>
          </cell>
        </row>
        <row r="20">
          <cell r="F20">
            <v>2025</v>
          </cell>
        </row>
      </sheetData>
      <sheetData sheetId="3">
        <row r="11">
          <cell r="F11" t="str">
            <v>Highway</v>
          </cell>
          <cell r="G11" t="str">
            <v>Avion/Jurupa</v>
          </cell>
          <cell r="I11" t="str">
            <v>Avion Jurupa</v>
          </cell>
          <cell r="M11">
            <v>1.48</v>
          </cell>
          <cell r="N11">
            <v>0.38</v>
          </cell>
          <cell r="AL11" t="str">
            <v>Highway</v>
          </cell>
          <cell r="AM11" t="str">
            <v>Avion</v>
          </cell>
          <cell r="AO11" t="str">
            <v>Avion realignment</v>
          </cell>
          <cell r="AQ11">
            <v>0.8</v>
          </cell>
          <cell r="AR11">
            <v>0.8</v>
          </cell>
          <cell r="AS11">
            <v>0.8</v>
          </cell>
          <cell r="BP11" t="str">
            <v>Highway</v>
          </cell>
          <cell r="BQ11" t="str">
            <v>Avion</v>
          </cell>
          <cell r="BS11" t="str">
            <v>Avion Realignment</v>
          </cell>
          <cell r="CB11">
            <v>24</v>
          </cell>
          <cell r="CD11">
            <v>1.0895999999999999</v>
          </cell>
          <cell r="CE11">
            <v>2</v>
          </cell>
          <cell r="CF11">
            <v>2.1791999999999998</v>
          </cell>
          <cell r="CG11">
            <v>10</v>
          </cell>
          <cell r="CH11">
            <v>1.48</v>
          </cell>
          <cell r="CK11">
            <v>1.04148</v>
          </cell>
          <cell r="CL11">
            <v>2</v>
          </cell>
          <cell r="CM11">
            <v>2.0829599999999999</v>
          </cell>
          <cell r="CN11">
            <v>35</v>
          </cell>
          <cell r="CO11">
            <v>1.48</v>
          </cell>
          <cell r="CU11" t="str">
            <v>Reliability Group 1</v>
          </cell>
          <cell r="CV11" t="str">
            <v>Automobile</v>
          </cell>
          <cell r="CW11">
            <v>1</v>
          </cell>
          <cell r="CY11">
            <v>1</v>
          </cell>
          <cell r="DF11" t="str">
            <v>Truck</v>
          </cell>
          <cell r="DG11">
            <v>1</v>
          </cell>
          <cell r="DI11">
            <v>1</v>
          </cell>
        </row>
        <row r="12">
          <cell r="F12" t="str">
            <v>Highway</v>
          </cell>
          <cell r="G12" t="str">
            <v>Dummy</v>
          </cell>
          <cell r="I12" t="str">
            <v>Dummy</v>
          </cell>
          <cell r="M12">
            <v>0</v>
          </cell>
          <cell r="N12">
            <v>0</v>
          </cell>
          <cell r="AL12" t="str">
            <v>Highway</v>
          </cell>
          <cell r="AM12" t="str">
            <v>Dummy</v>
          </cell>
          <cell r="AN12" t="str">
            <v>Dummy</v>
          </cell>
          <cell r="AQ12">
            <v>0.8</v>
          </cell>
          <cell r="AR12">
            <v>0.8</v>
          </cell>
          <cell r="AS12">
            <v>0.8</v>
          </cell>
          <cell r="BP12" t="str">
            <v>Highway</v>
          </cell>
          <cell r="BQ12" t="str">
            <v>Dummy</v>
          </cell>
          <cell r="BS12" t="str">
            <v>Dummy</v>
          </cell>
          <cell r="CB12">
            <v>24</v>
          </cell>
          <cell r="CD12">
            <v>0</v>
          </cell>
          <cell r="CE12">
            <v>0</v>
          </cell>
          <cell r="CF12">
            <v>0</v>
          </cell>
          <cell r="CG12">
            <v>0</v>
          </cell>
          <cell r="CH12">
            <v>0</v>
          </cell>
          <cell r="CK12">
            <v>0</v>
          </cell>
          <cell r="CL12">
            <v>0</v>
          </cell>
          <cell r="CM12">
            <v>0</v>
          </cell>
          <cell r="CN12">
            <v>0</v>
          </cell>
          <cell r="CO12">
            <v>0</v>
          </cell>
          <cell r="CU12" t="str">
            <v>Reliability Group 2</v>
          </cell>
          <cell r="CV12" t="str">
            <v>Automobile</v>
          </cell>
          <cell r="CW12">
            <v>1</v>
          </cell>
          <cell r="CY12">
            <v>1</v>
          </cell>
          <cell r="DF12" t="str">
            <v>Truck</v>
          </cell>
          <cell r="DG12">
            <v>1</v>
          </cell>
          <cell r="DI12">
            <v>1</v>
          </cell>
        </row>
        <row r="14">
          <cell r="F14">
            <v>2020</v>
          </cell>
          <cell r="AL14">
            <v>2020</v>
          </cell>
        </row>
        <row r="15">
          <cell r="F15">
            <v>2054</v>
          </cell>
          <cell r="AL15">
            <v>2054</v>
          </cell>
        </row>
        <row r="30">
          <cell r="F30">
            <v>1930</v>
          </cell>
          <cell r="G30">
            <v>2103</v>
          </cell>
          <cell r="H30">
            <v>210</v>
          </cell>
          <cell r="L30">
            <v>10.014285714285714</v>
          </cell>
          <cell r="M30">
            <v>1.48</v>
          </cell>
          <cell r="N30">
            <v>0.38</v>
          </cell>
          <cell r="V30">
            <v>18591</v>
          </cell>
          <cell r="W30">
            <v>20256</v>
          </cell>
          <cell r="X30">
            <v>2026</v>
          </cell>
          <cell r="AB30">
            <v>9.998025666337611</v>
          </cell>
          <cell r="AC30">
            <v>1.48</v>
          </cell>
          <cell r="AD30">
            <v>0.38</v>
          </cell>
          <cell r="AM30">
            <v>2103</v>
          </cell>
          <cell r="AN30">
            <v>0.43</v>
          </cell>
          <cell r="AO30">
            <v>1.3</v>
          </cell>
          <cell r="AP30">
            <v>1.74</v>
          </cell>
          <cell r="AQ30">
            <v>9.0428999999999998E-4</v>
          </cell>
          <cell r="AR30">
            <v>2.7339E-3</v>
          </cell>
          <cell r="AS30">
            <v>3.6592199999999999E-3</v>
          </cell>
          <cell r="BA30">
            <v>20256</v>
          </cell>
          <cell r="BB30">
            <v>0.43</v>
          </cell>
          <cell r="BC30">
            <v>1.3</v>
          </cell>
          <cell r="BD30">
            <v>1.74</v>
          </cell>
          <cell r="BE30">
            <v>8.7100800000000003E-3</v>
          </cell>
          <cell r="BF30">
            <v>2.63328E-2</v>
          </cell>
          <cell r="BG30">
            <v>3.5245440000000003E-2</v>
          </cell>
          <cell r="BP30">
            <v>2103</v>
          </cell>
          <cell r="BQ30">
            <v>210</v>
          </cell>
          <cell r="BR30">
            <v>0.38</v>
          </cell>
          <cell r="BS30">
            <v>10.014285714285714</v>
          </cell>
          <cell r="BT30">
            <v>40.209709985315719</v>
          </cell>
          <cell r="CD30">
            <v>20256</v>
          </cell>
          <cell r="CE30">
            <v>2026</v>
          </cell>
          <cell r="CF30">
            <v>0.38</v>
          </cell>
          <cell r="CG30">
            <v>9.998025666337611</v>
          </cell>
          <cell r="CH30">
            <v>387.29809104258447</v>
          </cell>
        </row>
        <row r="31">
          <cell r="F31">
            <v>0</v>
          </cell>
          <cell r="G31">
            <v>0</v>
          </cell>
          <cell r="H31">
            <v>0</v>
          </cell>
          <cell r="L31">
            <v>55</v>
          </cell>
          <cell r="M31">
            <v>0</v>
          </cell>
          <cell r="N31">
            <v>0</v>
          </cell>
          <cell r="V31">
            <v>0</v>
          </cell>
          <cell r="W31">
            <v>0</v>
          </cell>
          <cell r="X31">
            <v>0</v>
          </cell>
          <cell r="AB31">
            <v>55</v>
          </cell>
          <cell r="AC31">
            <v>0</v>
          </cell>
          <cell r="AD31">
            <v>0</v>
          </cell>
          <cell r="AM31">
            <v>0</v>
          </cell>
          <cell r="AN31">
            <v>0</v>
          </cell>
          <cell r="AO31">
            <v>0</v>
          </cell>
          <cell r="AP31">
            <v>0</v>
          </cell>
          <cell r="AQ31">
            <v>0</v>
          </cell>
          <cell r="AR31">
            <v>0</v>
          </cell>
          <cell r="AS31">
            <v>0</v>
          </cell>
          <cell r="BA31">
            <v>0</v>
          </cell>
          <cell r="BB31">
            <v>0</v>
          </cell>
          <cell r="BC31">
            <v>0</v>
          </cell>
          <cell r="BD31">
            <v>0</v>
          </cell>
          <cell r="BE31">
            <v>0</v>
          </cell>
          <cell r="BF31">
            <v>0</v>
          </cell>
          <cell r="BG31">
            <v>0</v>
          </cell>
          <cell r="BP31">
            <v>0</v>
          </cell>
          <cell r="BQ31">
            <v>0</v>
          </cell>
          <cell r="BR31">
            <v>0</v>
          </cell>
          <cell r="BS31">
            <v>0</v>
          </cell>
          <cell r="BT31" t="str">
            <v/>
          </cell>
          <cell r="CD31">
            <v>0</v>
          </cell>
          <cell r="CE31">
            <v>0</v>
          </cell>
          <cell r="CF31">
            <v>0</v>
          </cell>
          <cell r="CG31">
            <v>0</v>
          </cell>
          <cell r="CH31" t="str">
            <v/>
          </cell>
        </row>
        <row r="37">
          <cell r="F37">
            <v>2126</v>
          </cell>
          <cell r="G37">
            <v>2214</v>
          </cell>
          <cell r="H37">
            <v>63</v>
          </cell>
          <cell r="L37">
            <v>35.142857142857146</v>
          </cell>
          <cell r="M37">
            <v>1.48</v>
          </cell>
          <cell r="N37">
            <v>0.38</v>
          </cell>
          <cell r="V37">
            <v>21360</v>
          </cell>
          <cell r="W37">
            <v>23274</v>
          </cell>
          <cell r="X37">
            <v>665</v>
          </cell>
          <cell r="AB37">
            <v>34.998496240601504</v>
          </cell>
          <cell r="AC37">
            <v>1.48</v>
          </cell>
          <cell r="AD37">
            <v>0.38</v>
          </cell>
          <cell r="AM37">
            <v>2214</v>
          </cell>
          <cell r="AN37">
            <v>8.5999999999999979E-2</v>
          </cell>
          <cell r="AO37">
            <v>0.25999999999999995</v>
          </cell>
          <cell r="AP37">
            <v>0.34799999999999992</v>
          </cell>
          <cell r="AQ37">
            <v>1.9040399999999997E-4</v>
          </cell>
          <cell r="AR37">
            <v>5.7563999999999988E-4</v>
          </cell>
          <cell r="AS37">
            <v>7.7047199999999991E-4</v>
          </cell>
          <cell r="BA37">
            <v>23274</v>
          </cell>
          <cell r="BB37">
            <v>8.5999999999999979E-2</v>
          </cell>
          <cell r="BC37">
            <v>0.25999999999999995</v>
          </cell>
          <cell r="BD37">
            <v>0.34799999999999992</v>
          </cell>
          <cell r="BE37">
            <v>2.0015639999999995E-3</v>
          </cell>
          <cell r="BF37">
            <v>6.0512399999999985E-3</v>
          </cell>
          <cell r="BG37">
            <v>8.0993519999999989E-3</v>
          </cell>
          <cell r="BP37">
            <v>2214</v>
          </cell>
          <cell r="BQ37">
            <v>63</v>
          </cell>
          <cell r="BR37">
            <v>0.38</v>
          </cell>
          <cell r="BS37">
            <v>35.142857142857146</v>
          </cell>
          <cell r="BT37">
            <v>44.287936398202561</v>
          </cell>
          <cell r="CD37">
            <v>23274</v>
          </cell>
          <cell r="CE37">
            <v>665</v>
          </cell>
          <cell r="CF37">
            <v>0.4</v>
          </cell>
          <cell r="CG37">
            <v>34.998496240601504</v>
          </cell>
          <cell r="CH37">
            <v>465.56342896647084</v>
          </cell>
        </row>
        <row r="38">
          <cell r="F38">
            <v>0</v>
          </cell>
          <cell r="G38">
            <v>0</v>
          </cell>
          <cell r="H38">
            <v>0</v>
          </cell>
          <cell r="L38">
            <v>55</v>
          </cell>
          <cell r="M38">
            <v>0</v>
          </cell>
          <cell r="N38">
            <v>0</v>
          </cell>
          <cell r="V38">
            <v>0</v>
          </cell>
          <cell r="W38">
            <v>0</v>
          </cell>
          <cell r="X38">
            <v>0</v>
          </cell>
          <cell r="AB38">
            <v>55</v>
          </cell>
          <cell r="AC38">
            <v>0</v>
          </cell>
          <cell r="AD38">
            <v>0</v>
          </cell>
          <cell r="AM38">
            <v>0</v>
          </cell>
          <cell r="AN38">
            <v>0</v>
          </cell>
          <cell r="AO38">
            <v>0</v>
          </cell>
          <cell r="AP38">
            <v>0</v>
          </cell>
          <cell r="AQ38">
            <v>0</v>
          </cell>
          <cell r="AR38">
            <v>0</v>
          </cell>
          <cell r="AS38">
            <v>0</v>
          </cell>
          <cell r="BA38">
            <v>0</v>
          </cell>
          <cell r="BB38">
            <v>0</v>
          </cell>
          <cell r="BC38">
            <v>0</v>
          </cell>
          <cell r="BD38">
            <v>0</v>
          </cell>
          <cell r="BE38">
            <v>0</v>
          </cell>
          <cell r="BF38">
            <v>0</v>
          </cell>
          <cell r="BG38">
            <v>0</v>
          </cell>
          <cell r="BP38">
            <v>0</v>
          </cell>
          <cell r="BQ38">
            <v>0</v>
          </cell>
          <cell r="BR38">
            <v>0</v>
          </cell>
          <cell r="BS38">
            <v>0</v>
          </cell>
          <cell r="BT38" t="str">
            <v/>
          </cell>
          <cell r="CD38">
            <v>0</v>
          </cell>
          <cell r="CE38">
            <v>0</v>
          </cell>
          <cell r="CF38">
            <v>0</v>
          </cell>
          <cell r="CG38">
            <v>0</v>
          </cell>
          <cell r="CH38" t="str">
            <v/>
          </cell>
        </row>
      </sheetData>
      <sheetData sheetId="4">
        <row r="29">
          <cell r="H29" t="str">
            <v>Y</v>
          </cell>
        </row>
        <row r="31">
          <cell r="H31" t="str">
            <v>Y</v>
          </cell>
        </row>
        <row r="33">
          <cell r="H33" t="str">
            <v>Y</v>
          </cell>
        </row>
        <row r="35">
          <cell r="H35" t="str">
            <v>Y</v>
          </cell>
        </row>
        <row r="37">
          <cell r="H37" t="str">
            <v>Y</v>
          </cell>
        </row>
      </sheetData>
      <sheetData sheetId="5"/>
      <sheetData sheetId="6">
        <row r="209">
          <cell r="G209">
            <v>1</v>
          </cell>
          <cell r="H209" t="b">
            <v>0</v>
          </cell>
          <cell r="K209">
            <v>1</v>
          </cell>
          <cell r="L209" t="b">
            <v>0</v>
          </cell>
        </row>
        <row r="210">
          <cell r="G210">
            <v>0</v>
          </cell>
          <cell r="H210" t="b">
            <v>0</v>
          </cell>
          <cell r="K210">
            <v>0</v>
          </cell>
          <cell r="L210" t="b">
            <v>0</v>
          </cell>
        </row>
      </sheetData>
      <sheetData sheetId="7"/>
      <sheetData sheetId="8"/>
      <sheetData sheetId="9"/>
      <sheetData sheetId="10"/>
      <sheetData sheetId="11"/>
      <sheetData sheetId="12">
        <row r="12">
          <cell r="F12">
            <v>7.0000000000000007E-2</v>
          </cell>
          <cell r="J12" t="str">
            <v>Highway</v>
          </cell>
          <cell r="AR12">
            <v>5</v>
          </cell>
          <cell r="AS12">
            <v>5.1499999999999997E-2</v>
          </cell>
          <cell r="AT12">
            <v>0.14000000000000001</v>
          </cell>
          <cell r="BQ12">
            <v>0</v>
          </cell>
          <cell r="BR12">
            <v>3.5182000000000002</v>
          </cell>
          <cell r="BS12">
            <v>78.918499999999995</v>
          </cell>
          <cell r="BT12">
            <v>0.30559999999999998</v>
          </cell>
          <cell r="BU12">
            <v>2E-3</v>
          </cell>
          <cell r="BV12">
            <v>8.0000000000000004E-4</v>
          </cell>
          <cell r="BW12">
            <v>0.39</v>
          </cell>
          <cell r="BX12">
            <v>2E-3</v>
          </cell>
          <cell r="CC12">
            <v>0</v>
          </cell>
          <cell r="CD12">
            <v>1.7535000000000001</v>
          </cell>
          <cell r="CE12">
            <v>60.228900000000003</v>
          </cell>
          <cell r="CF12">
            <v>0.1686</v>
          </cell>
          <cell r="CG12">
            <v>8.0000000000000004E-4</v>
          </cell>
          <cell r="CH12">
            <v>5.9999999999999995E-4</v>
          </cell>
          <cell r="CI12">
            <v>0.14510000000000001</v>
          </cell>
          <cell r="CJ12">
            <v>8.0000000000000004E-4</v>
          </cell>
          <cell r="CP12">
            <v>1</v>
          </cell>
          <cell r="CQ12">
            <v>170</v>
          </cell>
          <cell r="CR12">
            <v>48</v>
          </cell>
          <cell r="CS12">
            <v>14344</v>
          </cell>
          <cell r="CT12">
            <v>69421</v>
          </cell>
          <cell r="CU12">
            <v>38402</v>
          </cell>
          <cell r="CV12">
            <v>4300</v>
          </cell>
          <cell r="EJ12">
            <v>1.0274000000000001</v>
          </cell>
          <cell r="EK12">
            <v>1.2203999999999999</v>
          </cell>
          <cell r="EL12">
            <v>0.71</v>
          </cell>
          <cell r="EM12">
            <v>0.56000000000000005</v>
          </cell>
        </row>
        <row r="13">
          <cell r="AR13">
            <v>6</v>
          </cell>
          <cell r="AS13">
            <v>5.0099999999999999E-2</v>
          </cell>
          <cell r="AT13">
            <v>0.13769999999999999</v>
          </cell>
          <cell r="BQ13">
            <v>5</v>
          </cell>
          <cell r="BR13">
            <v>1.3615999999999999</v>
          </cell>
          <cell r="BS13">
            <v>555.43650000000002</v>
          </cell>
          <cell r="BT13">
            <v>9.5899999999999999E-2</v>
          </cell>
          <cell r="BU13">
            <v>6.4999999999999997E-3</v>
          </cell>
          <cell r="BV13">
            <v>5.4999999999999997E-3</v>
          </cell>
          <cell r="BW13">
            <v>8.6800000000000002E-2</v>
          </cell>
          <cell r="BX13">
            <v>6.4999999999999997E-3</v>
          </cell>
          <cell r="CC13">
            <v>5</v>
          </cell>
          <cell r="CD13">
            <v>0.55589999999999995</v>
          </cell>
          <cell r="CE13">
            <v>330.90339999999998</v>
          </cell>
          <cell r="CF13">
            <v>2.23E-2</v>
          </cell>
          <cell r="CG13">
            <v>1.8E-3</v>
          </cell>
          <cell r="CH13">
            <v>3.3E-3</v>
          </cell>
          <cell r="CI13">
            <v>2.4899999999999999E-2</v>
          </cell>
          <cell r="CJ13">
            <v>1.8E-3</v>
          </cell>
          <cell r="CP13">
            <v>2</v>
          </cell>
          <cell r="CQ13">
            <v>90</v>
          </cell>
          <cell r="CR13">
            <v>48</v>
          </cell>
          <cell r="CS13">
            <v>14344</v>
          </cell>
          <cell r="CT13">
            <v>691421</v>
          </cell>
          <cell r="CU13">
            <v>38402</v>
          </cell>
          <cell r="CV13">
            <v>1415</v>
          </cell>
        </row>
        <row r="14">
          <cell r="AR14">
            <v>7</v>
          </cell>
          <cell r="AS14">
            <v>4.8800000000000003E-2</v>
          </cell>
          <cell r="AT14">
            <v>0.13550000000000001</v>
          </cell>
          <cell r="BQ14">
            <v>6</v>
          </cell>
          <cell r="BR14">
            <v>1.3409</v>
          </cell>
          <cell r="BS14">
            <v>538.70389999999998</v>
          </cell>
          <cell r="BT14">
            <v>9.3299999999999994E-2</v>
          </cell>
          <cell r="BU14">
            <v>6.0000000000000001E-3</v>
          </cell>
          <cell r="BV14">
            <v>5.3E-3</v>
          </cell>
          <cell r="BW14">
            <v>7.9699999999999993E-2</v>
          </cell>
          <cell r="BX14">
            <v>6.0000000000000001E-3</v>
          </cell>
          <cell r="CC14">
            <v>6</v>
          </cell>
          <cell r="CD14">
            <v>0.55759999999999998</v>
          </cell>
          <cell r="CE14">
            <v>324.70420000000001</v>
          </cell>
          <cell r="CF14">
            <v>2.2100000000000002E-2</v>
          </cell>
          <cell r="CG14">
            <v>1.6000000000000001E-3</v>
          </cell>
          <cell r="CH14">
            <v>3.2000000000000002E-3</v>
          </cell>
          <cell r="CI14">
            <v>2.3300000000000001E-2</v>
          </cell>
          <cell r="CJ14">
            <v>1.6000000000000001E-3</v>
          </cell>
          <cell r="CP14">
            <v>3</v>
          </cell>
          <cell r="CQ14">
            <v>80</v>
          </cell>
          <cell r="CR14">
            <v>48</v>
          </cell>
          <cell r="CS14">
            <v>14344</v>
          </cell>
          <cell r="CT14">
            <v>694421</v>
          </cell>
          <cell r="CU14">
            <v>38402</v>
          </cell>
          <cell r="CV14">
            <v>1110</v>
          </cell>
        </row>
        <row r="15">
          <cell r="AR15">
            <v>8</v>
          </cell>
          <cell r="AS15">
            <v>4.7600000000000003E-2</v>
          </cell>
          <cell r="AT15">
            <v>0.1333</v>
          </cell>
          <cell r="BQ15">
            <v>7</v>
          </cell>
          <cell r="BR15">
            <v>1.3206</v>
          </cell>
          <cell r="BS15">
            <v>522.47540000000004</v>
          </cell>
          <cell r="BT15">
            <v>9.0700000000000003E-2</v>
          </cell>
          <cell r="BU15">
            <v>5.4999999999999997E-3</v>
          </cell>
          <cell r="BV15">
            <v>5.1999999999999998E-3</v>
          </cell>
          <cell r="BW15">
            <v>7.3200000000000001E-2</v>
          </cell>
          <cell r="BX15">
            <v>5.4999999999999997E-3</v>
          </cell>
          <cell r="CC15">
            <v>7</v>
          </cell>
          <cell r="CD15">
            <v>0.55940000000000001</v>
          </cell>
          <cell r="CE15">
            <v>318.62099999999998</v>
          </cell>
          <cell r="CF15">
            <v>2.1899999999999999E-2</v>
          </cell>
          <cell r="CG15">
            <v>1.5E-3</v>
          </cell>
          <cell r="CH15">
            <v>3.0999999999999999E-3</v>
          </cell>
          <cell r="CI15">
            <v>2.1700000000000001E-2</v>
          </cell>
          <cell r="CJ15">
            <v>1.5E-3</v>
          </cell>
        </row>
        <row r="16">
          <cell r="AR16">
            <v>9</v>
          </cell>
          <cell r="AS16">
            <v>4.6399999999999997E-2</v>
          </cell>
          <cell r="AT16">
            <v>0.13120000000000001</v>
          </cell>
          <cell r="BQ16">
            <v>8</v>
          </cell>
          <cell r="BR16">
            <v>1.3005</v>
          </cell>
          <cell r="BS16">
            <v>506.73579999999998</v>
          </cell>
          <cell r="BT16">
            <v>8.8099999999999998E-2</v>
          </cell>
          <cell r="BU16">
            <v>5.1000000000000004E-3</v>
          </cell>
          <cell r="BV16">
            <v>5.0000000000000001E-3</v>
          </cell>
          <cell r="BW16">
            <v>6.7199999999999996E-2</v>
          </cell>
          <cell r="BX16">
            <v>5.1000000000000004E-3</v>
          </cell>
          <cell r="CC16">
            <v>8</v>
          </cell>
          <cell r="CD16">
            <v>0.56120000000000003</v>
          </cell>
          <cell r="CE16">
            <v>312.65179999999998</v>
          </cell>
          <cell r="CF16">
            <v>2.18E-2</v>
          </cell>
          <cell r="CG16">
            <v>1.4E-3</v>
          </cell>
          <cell r="CH16">
            <v>3.0999999999999999E-3</v>
          </cell>
          <cell r="CI16">
            <v>2.0299999999999999E-2</v>
          </cell>
          <cell r="CJ16">
            <v>1.4E-3</v>
          </cell>
          <cell r="CR16">
            <v>0.02</v>
          </cell>
        </row>
        <row r="17">
          <cell r="AR17">
            <v>10</v>
          </cell>
          <cell r="AS17">
            <v>4.5199999999999997E-2</v>
          </cell>
          <cell r="AT17">
            <v>0.12909999999999999</v>
          </cell>
          <cell r="BQ17">
            <v>9</v>
          </cell>
          <cell r="BR17">
            <v>1.2806999999999999</v>
          </cell>
          <cell r="BS17">
            <v>491.47030000000001</v>
          </cell>
          <cell r="BT17">
            <v>8.5699999999999998E-2</v>
          </cell>
          <cell r="BU17">
            <v>4.7000000000000002E-3</v>
          </cell>
          <cell r="BV17">
            <v>4.8999999999999998E-3</v>
          </cell>
          <cell r="BW17">
            <v>6.1699999999999998E-2</v>
          </cell>
          <cell r="BX17">
            <v>4.7000000000000002E-3</v>
          </cell>
          <cell r="CC17">
            <v>9</v>
          </cell>
          <cell r="CD17">
            <v>0.56299999999999994</v>
          </cell>
          <cell r="CE17">
            <v>306.79450000000003</v>
          </cell>
          <cell r="CF17">
            <v>2.1600000000000001E-2</v>
          </cell>
          <cell r="CG17">
            <v>1.2999999999999999E-3</v>
          </cell>
          <cell r="CH17">
            <v>3.0000000000000001E-3</v>
          </cell>
          <cell r="CI17">
            <v>1.89E-2</v>
          </cell>
          <cell r="CJ17">
            <v>1.2999999999999999E-3</v>
          </cell>
        </row>
        <row r="18">
          <cell r="AR18">
            <v>11</v>
          </cell>
          <cell r="AS18">
            <v>4.2900000000000001E-2</v>
          </cell>
          <cell r="AT18">
            <v>0.12379999999999999</v>
          </cell>
          <cell r="BQ18">
            <v>10</v>
          </cell>
          <cell r="BR18">
            <v>1.2613000000000001</v>
          </cell>
          <cell r="BS18">
            <v>476.66469999999998</v>
          </cell>
          <cell r="BT18">
            <v>8.3299999999999999E-2</v>
          </cell>
          <cell r="BU18">
            <v>4.3E-3</v>
          </cell>
          <cell r="BV18">
            <v>4.7000000000000002E-3</v>
          </cell>
          <cell r="BW18">
            <v>5.67E-2</v>
          </cell>
          <cell r="BX18">
            <v>4.3E-3</v>
          </cell>
          <cell r="CC18">
            <v>10</v>
          </cell>
          <cell r="CD18">
            <v>0.56469999999999998</v>
          </cell>
          <cell r="CE18">
            <v>301.04689999999999</v>
          </cell>
          <cell r="CF18">
            <v>2.1399999999999999E-2</v>
          </cell>
          <cell r="CG18">
            <v>1.1999999999999999E-3</v>
          </cell>
          <cell r="CH18">
            <v>3.0000000000000001E-3</v>
          </cell>
          <cell r="CI18">
            <v>1.77E-2</v>
          </cell>
          <cell r="CJ18">
            <v>1.1999999999999999E-3</v>
          </cell>
        </row>
        <row r="19">
          <cell r="AR19">
            <v>12</v>
          </cell>
          <cell r="AS19">
            <v>4.07E-2</v>
          </cell>
          <cell r="AT19">
            <v>0.1186</v>
          </cell>
          <cell r="BQ19">
            <v>11</v>
          </cell>
          <cell r="BR19">
            <v>1.2222999999999999</v>
          </cell>
          <cell r="BS19">
            <v>452.58</v>
          </cell>
          <cell r="BT19">
            <v>8.0399999999999999E-2</v>
          </cell>
          <cell r="BU19">
            <v>3.8999999999999998E-3</v>
          </cell>
          <cell r="BV19">
            <v>4.4999999999999997E-3</v>
          </cell>
          <cell r="BW19">
            <v>5.1799999999999999E-2</v>
          </cell>
          <cell r="BX19">
            <v>3.8999999999999998E-3</v>
          </cell>
          <cell r="CC19">
            <v>11</v>
          </cell>
          <cell r="CD19">
            <v>0.54790000000000005</v>
          </cell>
          <cell r="CE19">
            <v>285.95350000000002</v>
          </cell>
          <cell r="CF19">
            <v>2.06E-2</v>
          </cell>
          <cell r="CG19">
            <v>1.1000000000000001E-3</v>
          </cell>
          <cell r="CH19">
            <v>2.8E-3</v>
          </cell>
          <cell r="CI19">
            <v>1.61E-2</v>
          </cell>
          <cell r="CJ19">
            <v>1.1000000000000001E-3</v>
          </cell>
        </row>
        <row r="20">
          <cell r="AR20">
            <v>13</v>
          </cell>
          <cell r="AS20">
            <v>3.8699999999999998E-2</v>
          </cell>
          <cell r="AT20">
            <v>0.1137</v>
          </cell>
          <cell r="BQ20">
            <v>12</v>
          </cell>
          <cell r="BR20">
            <v>1.1846000000000001</v>
          </cell>
          <cell r="BS20">
            <v>429.7124</v>
          </cell>
          <cell r="BT20">
            <v>7.7499999999999999E-2</v>
          </cell>
          <cell r="BU20">
            <v>3.5999999999999999E-3</v>
          </cell>
          <cell r="BV20">
            <v>4.1999999999999997E-3</v>
          </cell>
          <cell r="BW20">
            <v>4.7300000000000002E-2</v>
          </cell>
          <cell r="BX20">
            <v>3.5999999999999999E-3</v>
          </cell>
          <cell r="CC20">
            <v>12</v>
          </cell>
          <cell r="CD20">
            <v>0.53149999999999997</v>
          </cell>
          <cell r="CE20">
            <v>271.61689999999999</v>
          </cell>
          <cell r="CF20">
            <v>1.9900000000000001E-2</v>
          </cell>
          <cell r="CG20">
            <v>1E-3</v>
          </cell>
          <cell r="CH20">
            <v>2.7000000000000001E-3</v>
          </cell>
          <cell r="CI20">
            <v>1.47E-2</v>
          </cell>
          <cell r="CJ20">
            <v>1E-3</v>
          </cell>
        </row>
        <row r="21">
          <cell r="AR21">
            <v>14</v>
          </cell>
          <cell r="AS21">
            <v>3.6700000000000003E-2</v>
          </cell>
          <cell r="AT21">
            <v>0.109</v>
          </cell>
          <cell r="BQ21">
            <v>13</v>
          </cell>
          <cell r="BR21">
            <v>1.1479999999999999</v>
          </cell>
          <cell r="BS21">
            <v>408.00009999999997</v>
          </cell>
          <cell r="BT21">
            <v>7.4800000000000005E-2</v>
          </cell>
          <cell r="BU21">
            <v>3.3E-3</v>
          </cell>
          <cell r="BV21">
            <v>4.0000000000000001E-3</v>
          </cell>
          <cell r="BW21">
            <v>4.3299999999999998E-2</v>
          </cell>
          <cell r="BX21">
            <v>3.3E-3</v>
          </cell>
          <cell r="CC21">
            <v>13</v>
          </cell>
          <cell r="CD21">
            <v>0.51559999999999995</v>
          </cell>
          <cell r="CE21">
            <v>257.9991</v>
          </cell>
          <cell r="CF21">
            <v>1.9199999999999998E-2</v>
          </cell>
          <cell r="CG21">
            <v>8.9999999999999998E-4</v>
          </cell>
          <cell r="CH21">
            <v>2.5999999999999999E-3</v>
          </cell>
          <cell r="CI21">
            <v>1.34E-2</v>
          </cell>
          <cell r="CJ21">
            <v>8.9999999999999998E-4</v>
          </cell>
        </row>
        <row r="22">
          <cell r="AR22">
            <v>15</v>
          </cell>
          <cell r="AS22">
            <v>3.49E-2</v>
          </cell>
          <cell r="AT22">
            <v>0.10440000000000001</v>
          </cell>
          <cell r="BQ22">
            <v>14</v>
          </cell>
          <cell r="BR22">
            <v>1.1126</v>
          </cell>
          <cell r="BS22">
            <v>387.38490000000002</v>
          </cell>
          <cell r="BT22">
            <v>7.2099999999999997E-2</v>
          </cell>
          <cell r="BU22">
            <v>3.0000000000000001E-3</v>
          </cell>
          <cell r="BV22">
            <v>3.8E-3</v>
          </cell>
          <cell r="BW22">
            <v>3.9600000000000003E-2</v>
          </cell>
          <cell r="BX22">
            <v>3.0000000000000001E-3</v>
          </cell>
          <cell r="CC22">
            <v>14</v>
          </cell>
          <cell r="CD22">
            <v>0.50019999999999998</v>
          </cell>
          <cell r="CE22">
            <v>245.06399999999999</v>
          </cell>
          <cell r="CF22">
            <v>1.8499999999999999E-2</v>
          </cell>
          <cell r="CG22">
            <v>8.9999999999999998E-4</v>
          </cell>
          <cell r="CH22">
            <v>2.3999999999999998E-3</v>
          </cell>
          <cell r="CI22">
            <v>1.2200000000000001E-2</v>
          </cell>
          <cell r="CJ22">
            <v>8.9999999999999998E-4</v>
          </cell>
        </row>
        <row r="23">
          <cell r="AR23">
            <v>16</v>
          </cell>
          <cell r="AS23">
            <v>3.5099999999999999E-2</v>
          </cell>
          <cell r="AT23">
            <v>0.10290000000000001</v>
          </cell>
          <cell r="BQ23">
            <v>15</v>
          </cell>
          <cell r="BR23">
            <v>1.0783</v>
          </cell>
          <cell r="BS23">
            <v>367.81139999999999</v>
          </cell>
          <cell r="BT23">
            <v>6.9599999999999995E-2</v>
          </cell>
          <cell r="BU23">
            <v>2.7000000000000001E-3</v>
          </cell>
          <cell r="BV23">
            <v>3.5999999999999999E-3</v>
          </cell>
          <cell r="BW23">
            <v>3.61E-2</v>
          </cell>
          <cell r="BX23">
            <v>2.7000000000000001E-3</v>
          </cell>
          <cell r="CC23">
            <v>15</v>
          </cell>
          <cell r="CD23">
            <v>0.48530000000000001</v>
          </cell>
          <cell r="CE23">
            <v>232.7774</v>
          </cell>
          <cell r="CF23">
            <v>1.78E-2</v>
          </cell>
          <cell r="CG23">
            <v>8.0000000000000004E-4</v>
          </cell>
          <cell r="CH23">
            <v>2.3E-3</v>
          </cell>
          <cell r="CI23">
            <v>1.11E-2</v>
          </cell>
          <cell r="CJ23">
            <v>8.0000000000000004E-4</v>
          </cell>
        </row>
        <row r="24">
          <cell r="M24">
            <v>365</v>
          </cell>
          <cell r="AR24">
            <v>17</v>
          </cell>
          <cell r="AS24">
            <v>3.5200000000000002E-2</v>
          </cell>
          <cell r="AT24">
            <v>0.10150000000000001</v>
          </cell>
          <cell r="BQ24">
            <v>16</v>
          </cell>
          <cell r="BR24">
            <v>1.0942000000000001</v>
          </cell>
          <cell r="BS24">
            <v>366.76100000000002</v>
          </cell>
          <cell r="BT24">
            <v>7.0199999999999999E-2</v>
          </cell>
          <cell r="BU24">
            <v>2.5999999999999999E-3</v>
          </cell>
          <cell r="BV24">
            <v>3.5999999999999999E-3</v>
          </cell>
          <cell r="BW24">
            <v>3.4799999999999998E-2</v>
          </cell>
          <cell r="BX24">
            <v>2.5999999999999999E-3</v>
          </cell>
          <cell r="CC24">
            <v>16</v>
          </cell>
          <cell r="CD24">
            <v>0.50390000000000001</v>
          </cell>
          <cell r="CE24">
            <v>236.95599999999999</v>
          </cell>
          <cell r="CF24">
            <v>1.84E-2</v>
          </cell>
          <cell r="CG24">
            <v>8.0000000000000004E-4</v>
          </cell>
          <cell r="CH24">
            <v>2.3E-3</v>
          </cell>
          <cell r="CI24">
            <v>1.09E-2</v>
          </cell>
          <cell r="CJ24">
            <v>8.0000000000000004E-4</v>
          </cell>
          <cell r="EK24">
            <v>0.8</v>
          </cell>
        </row>
        <row r="25">
          <cell r="AR25">
            <v>18</v>
          </cell>
          <cell r="AS25">
            <v>3.5400000000000001E-2</v>
          </cell>
          <cell r="AT25">
            <v>0.1</v>
          </cell>
          <cell r="BQ25">
            <v>17</v>
          </cell>
          <cell r="BR25">
            <v>1.1103000000000001</v>
          </cell>
          <cell r="BS25">
            <v>365.71359999999999</v>
          </cell>
          <cell r="BT25">
            <v>7.0800000000000002E-2</v>
          </cell>
          <cell r="BU25">
            <v>2.5000000000000001E-3</v>
          </cell>
          <cell r="BV25">
            <v>3.5999999999999999E-3</v>
          </cell>
          <cell r="BW25">
            <v>3.3500000000000002E-2</v>
          </cell>
          <cell r="BX25">
            <v>2.5000000000000001E-3</v>
          </cell>
          <cell r="CC25">
            <v>17</v>
          </cell>
          <cell r="CD25">
            <v>0.5232</v>
          </cell>
          <cell r="CE25">
            <v>241.20959999999999</v>
          </cell>
          <cell r="CF25">
            <v>1.9E-2</v>
          </cell>
          <cell r="CG25">
            <v>8.0000000000000004E-4</v>
          </cell>
          <cell r="CH25">
            <v>2.3999999999999998E-3</v>
          </cell>
          <cell r="CI25">
            <v>1.0699999999999999E-2</v>
          </cell>
          <cell r="CJ25">
            <v>8.0000000000000004E-4</v>
          </cell>
          <cell r="EK25">
            <v>1.1000000000000001</v>
          </cell>
        </row>
        <row r="26">
          <cell r="E26">
            <v>17.8</v>
          </cell>
          <cell r="AR26">
            <v>19</v>
          </cell>
          <cell r="AS26">
            <v>3.56E-2</v>
          </cell>
          <cell r="AT26">
            <v>9.8599999999999993E-2</v>
          </cell>
          <cell r="BQ26">
            <v>18</v>
          </cell>
          <cell r="BR26">
            <v>1.1267</v>
          </cell>
          <cell r="BS26">
            <v>364.66930000000002</v>
          </cell>
          <cell r="BT26">
            <v>7.1400000000000005E-2</v>
          </cell>
          <cell r="BU26">
            <v>2.3999999999999998E-3</v>
          </cell>
          <cell r="BV26">
            <v>3.5999999999999999E-3</v>
          </cell>
          <cell r="BW26">
            <v>3.2300000000000002E-2</v>
          </cell>
          <cell r="BX26">
            <v>2.3999999999999998E-3</v>
          </cell>
          <cell r="CC26">
            <v>18</v>
          </cell>
          <cell r="CD26">
            <v>0.54330000000000001</v>
          </cell>
          <cell r="CE26">
            <v>245.53960000000001</v>
          </cell>
          <cell r="CF26">
            <v>1.9699999999999999E-2</v>
          </cell>
          <cell r="CG26">
            <v>6.9999999999999999E-4</v>
          </cell>
          <cell r="CH26">
            <v>2.3999999999999998E-3</v>
          </cell>
          <cell r="CI26">
            <v>1.0500000000000001E-2</v>
          </cell>
          <cell r="CJ26">
            <v>6.9999999999999999E-4</v>
          </cell>
        </row>
        <row r="27">
          <cell r="E27">
            <v>32</v>
          </cell>
          <cell r="AR27">
            <v>20</v>
          </cell>
          <cell r="AS27">
            <v>3.5799999999999998E-2</v>
          </cell>
          <cell r="AT27">
            <v>9.7199999999999995E-2</v>
          </cell>
          <cell r="BQ27">
            <v>19</v>
          </cell>
          <cell r="BR27">
            <v>1.1433</v>
          </cell>
          <cell r="BS27">
            <v>363.62779999999998</v>
          </cell>
          <cell r="BT27">
            <v>7.1999999999999995E-2</v>
          </cell>
          <cell r="BU27">
            <v>2.3999999999999998E-3</v>
          </cell>
          <cell r="BV27">
            <v>3.5999999999999999E-3</v>
          </cell>
          <cell r="BW27">
            <v>3.1099999999999999E-2</v>
          </cell>
          <cell r="BX27">
            <v>2.3999999999999998E-3</v>
          </cell>
          <cell r="CC27">
            <v>19</v>
          </cell>
          <cell r="CD27">
            <v>0.56410000000000005</v>
          </cell>
          <cell r="CE27">
            <v>249.94730000000001</v>
          </cell>
          <cell r="CF27">
            <v>2.0299999999999999E-2</v>
          </cell>
          <cell r="CG27">
            <v>6.9999999999999999E-4</v>
          </cell>
          <cell r="CH27">
            <v>2.5000000000000001E-3</v>
          </cell>
          <cell r="CI27">
            <v>1.03E-2</v>
          </cell>
          <cell r="CJ27">
            <v>6.9999999999999999E-4</v>
          </cell>
        </row>
        <row r="28">
          <cell r="AR28">
            <v>21</v>
          </cell>
          <cell r="AS28">
            <v>3.5400000000000001E-2</v>
          </cell>
          <cell r="AT28">
            <v>9.4E-2</v>
          </cell>
          <cell r="BQ28">
            <v>20</v>
          </cell>
          <cell r="BR28">
            <v>1.1600999999999999</v>
          </cell>
          <cell r="BS28">
            <v>362.58940000000001</v>
          </cell>
          <cell r="BT28">
            <v>7.2599999999999998E-2</v>
          </cell>
          <cell r="BU28">
            <v>2.3E-3</v>
          </cell>
          <cell r="BV28">
            <v>3.5999999999999999E-3</v>
          </cell>
          <cell r="BW28">
            <v>0.03</v>
          </cell>
          <cell r="BX28">
            <v>2.3E-3</v>
          </cell>
          <cell r="CC28">
            <v>20</v>
          </cell>
          <cell r="CD28">
            <v>0.58579999999999999</v>
          </cell>
          <cell r="CE28">
            <v>254.4341</v>
          </cell>
          <cell r="CF28">
            <v>2.1000000000000001E-2</v>
          </cell>
          <cell r="CG28">
            <v>6.9999999999999999E-4</v>
          </cell>
          <cell r="CH28">
            <v>2.5000000000000001E-3</v>
          </cell>
          <cell r="CI28">
            <v>1.01E-2</v>
          </cell>
          <cell r="CJ28">
            <v>6.9999999999999999E-4</v>
          </cell>
        </row>
        <row r="29">
          <cell r="AR29">
            <v>22</v>
          </cell>
          <cell r="AS29">
            <v>3.5000000000000003E-2</v>
          </cell>
          <cell r="AT29">
            <v>9.0899999999999995E-2</v>
          </cell>
          <cell r="BQ29">
            <v>21</v>
          </cell>
          <cell r="BR29">
            <v>1.1563000000000001</v>
          </cell>
          <cell r="BS29">
            <v>356.25099999999998</v>
          </cell>
          <cell r="BT29">
            <v>7.2400000000000006E-2</v>
          </cell>
          <cell r="BU29">
            <v>2.2000000000000001E-3</v>
          </cell>
          <cell r="BV29">
            <v>3.5000000000000001E-3</v>
          </cell>
          <cell r="BW29">
            <v>2.87E-2</v>
          </cell>
          <cell r="BX29">
            <v>2.2000000000000001E-3</v>
          </cell>
          <cell r="CC29">
            <v>21</v>
          </cell>
          <cell r="CD29">
            <v>0.59099999999999997</v>
          </cell>
          <cell r="CE29">
            <v>253.23840000000001</v>
          </cell>
          <cell r="CF29">
            <v>2.1100000000000001E-2</v>
          </cell>
          <cell r="CG29">
            <v>6.9999999999999999E-4</v>
          </cell>
          <cell r="CH29">
            <v>2.5000000000000001E-3</v>
          </cell>
          <cell r="CI29">
            <v>9.7999999999999997E-3</v>
          </cell>
          <cell r="CJ29">
            <v>6.9999999999999999E-4</v>
          </cell>
        </row>
        <row r="30">
          <cell r="AR30">
            <v>23</v>
          </cell>
          <cell r="AS30">
            <v>3.4500000000000003E-2</v>
          </cell>
          <cell r="AT30">
            <v>8.7900000000000006E-2</v>
          </cell>
          <cell r="BQ30">
            <v>22</v>
          </cell>
          <cell r="BR30">
            <v>1.1524000000000001</v>
          </cell>
          <cell r="BS30">
            <v>350.02339999999998</v>
          </cell>
          <cell r="BT30">
            <v>7.2300000000000003E-2</v>
          </cell>
          <cell r="BU30">
            <v>2.0999999999999999E-3</v>
          </cell>
          <cell r="BV30">
            <v>3.5000000000000001E-3</v>
          </cell>
          <cell r="BW30">
            <v>2.75E-2</v>
          </cell>
          <cell r="BX30">
            <v>2.0999999999999999E-3</v>
          </cell>
          <cell r="CC30">
            <v>22</v>
          </cell>
          <cell r="CD30">
            <v>0.59640000000000004</v>
          </cell>
          <cell r="CE30">
            <v>252.04820000000001</v>
          </cell>
          <cell r="CF30">
            <v>2.1299999999999999E-2</v>
          </cell>
          <cell r="CG30">
            <v>6.9999999999999999E-4</v>
          </cell>
          <cell r="CH30">
            <v>2.5000000000000001E-3</v>
          </cell>
          <cell r="CI30">
            <v>9.4000000000000004E-3</v>
          </cell>
          <cell r="CJ30">
            <v>6.9999999999999999E-4</v>
          </cell>
        </row>
        <row r="31">
          <cell r="E31">
            <v>3</v>
          </cell>
          <cell r="AR31">
            <v>24</v>
          </cell>
          <cell r="AS31">
            <v>3.4099999999999998E-2</v>
          </cell>
          <cell r="AT31">
            <v>8.5000000000000006E-2</v>
          </cell>
          <cell r="BQ31">
            <v>23</v>
          </cell>
          <cell r="BR31">
            <v>1.1486000000000001</v>
          </cell>
          <cell r="BS31">
            <v>343.90460000000002</v>
          </cell>
          <cell r="BT31">
            <v>7.2099999999999997E-2</v>
          </cell>
          <cell r="BU31">
            <v>2E-3</v>
          </cell>
          <cell r="BV31">
            <v>3.3999999999999998E-3</v>
          </cell>
          <cell r="BW31">
            <v>2.63E-2</v>
          </cell>
          <cell r="BX31">
            <v>2E-3</v>
          </cell>
          <cell r="CC31">
            <v>23</v>
          </cell>
          <cell r="CD31">
            <v>0.6018</v>
          </cell>
          <cell r="CE31">
            <v>250.86359999999999</v>
          </cell>
          <cell r="CF31">
            <v>2.1499999999999998E-2</v>
          </cell>
          <cell r="CG31">
            <v>5.9999999999999995E-4</v>
          </cell>
          <cell r="CH31">
            <v>2.5000000000000001E-3</v>
          </cell>
          <cell r="CI31">
            <v>9.1000000000000004E-3</v>
          </cell>
          <cell r="CJ31">
            <v>5.9999999999999995E-4</v>
          </cell>
        </row>
        <row r="32">
          <cell r="E32">
            <v>0</v>
          </cell>
          <cell r="AR32">
            <v>25</v>
          </cell>
          <cell r="AS32">
            <v>3.3700000000000001E-2</v>
          </cell>
          <cell r="AT32">
            <v>8.2199999999999995E-2</v>
          </cell>
          <cell r="BQ32">
            <v>24</v>
          </cell>
          <cell r="BR32">
            <v>1.1448</v>
          </cell>
          <cell r="BS32">
            <v>337.89280000000002</v>
          </cell>
          <cell r="BT32">
            <v>7.1900000000000006E-2</v>
          </cell>
          <cell r="BU32">
            <v>1.9E-3</v>
          </cell>
          <cell r="BV32">
            <v>3.3E-3</v>
          </cell>
          <cell r="BW32">
            <v>2.52E-2</v>
          </cell>
          <cell r="BX32">
            <v>1.9E-3</v>
          </cell>
          <cell r="CC32">
            <v>24</v>
          </cell>
          <cell r="CD32">
            <v>0.60719999999999996</v>
          </cell>
          <cell r="CE32">
            <v>249.68469999999999</v>
          </cell>
          <cell r="CF32">
            <v>2.1700000000000001E-2</v>
          </cell>
          <cell r="CG32">
            <v>5.9999999999999995E-4</v>
          </cell>
          <cell r="CH32">
            <v>2.5000000000000001E-3</v>
          </cell>
          <cell r="CI32">
            <v>8.8000000000000005E-3</v>
          </cell>
          <cell r="CJ32">
            <v>5.9999999999999995E-4</v>
          </cell>
        </row>
        <row r="33">
          <cell r="AR33">
            <v>26</v>
          </cell>
          <cell r="AS33">
            <v>3.3399999999999999E-2</v>
          </cell>
          <cell r="AT33">
            <v>8.1299999999999997E-2</v>
          </cell>
          <cell r="BQ33">
            <v>25</v>
          </cell>
          <cell r="BR33">
            <v>1.141</v>
          </cell>
          <cell r="BS33">
            <v>331.98610000000002</v>
          </cell>
          <cell r="BT33">
            <v>7.1800000000000003E-2</v>
          </cell>
          <cell r="BU33">
            <v>1.8E-3</v>
          </cell>
          <cell r="BV33">
            <v>3.3E-3</v>
          </cell>
          <cell r="BW33">
            <v>2.4199999999999999E-2</v>
          </cell>
          <cell r="BX33">
            <v>1.8E-3</v>
          </cell>
          <cell r="CC33">
            <v>25</v>
          </cell>
          <cell r="CD33">
            <v>0.61270000000000002</v>
          </cell>
          <cell r="CE33">
            <v>248.5112</v>
          </cell>
          <cell r="CF33">
            <v>2.18E-2</v>
          </cell>
          <cell r="CG33">
            <v>5.9999999999999995E-4</v>
          </cell>
          <cell r="CH33">
            <v>2.5000000000000001E-3</v>
          </cell>
          <cell r="CI33">
            <v>8.5000000000000006E-3</v>
          </cell>
          <cell r="CJ33">
            <v>5.9999999999999995E-4</v>
          </cell>
        </row>
        <row r="34">
          <cell r="AR34">
            <v>27</v>
          </cell>
          <cell r="AS34">
            <v>3.3099999999999997E-2</v>
          </cell>
          <cell r="AT34">
            <v>8.0299999999999996E-2</v>
          </cell>
          <cell r="BQ34">
            <v>26</v>
          </cell>
          <cell r="BR34">
            <v>1.1286</v>
          </cell>
          <cell r="BS34">
            <v>327.27409999999998</v>
          </cell>
          <cell r="BT34">
            <v>7.1099999999999997E-2</v>
          </cell>
          <cell r="BU34">
            <v>1.6999999999999999E-3</v>
          </cell>
          <cell r="BV34">
            <v>3.2000000000000002E-3</v>
          </cell>
          <cell r="BW34">
            <v>2.3199999999999998E-2</v>
          </cell>
          <cell r="BX34">
            <v>1.6999999999999999E-3</v>
          </cell>
          <cell r="CC34">
            <v>26</v>
          </cell>
          <cell r="CD34">
            <v>0.61439999999999995</v>
          </cell>
          <cell r="CE34">
            <v>247.79</v>
          </cell>
          <cell r="CF34">
            <v>2.1999999999999999E-2</v>
          </cell>
          <cell r="CG34">
            <v>5.9999999999999995E-4</v>
          </cell>
          <cell r="CH34">
            <v>2.3999999999999998E-3</v>
          </cell>
          <cell r="CI34">
            <v>8.3000000000000001E-3</v>
          </cell>
          <cell r="CJ34">
            <v>5.9999999999999995E-4</v>
          </cell>
        </row>
        <row r="35">
          <cell r="AR35">
            <v>28</v>
          </cell>
          <cell r="AS35">
            <v>3.2800000000000003E-2</v>
          </cell>
          <cell r="AT35">
            <v>7.9399999999999998E-2</v>
          </cell>
          <cell r="BQ35">
            <v>27</v>
          </cell>
          <cell r="BR35">
            <v>1.1164000000000001</v>
          </cell>
          <cell r="BS35">
            <v>322.62889999999999</v>
          </cell>
          <cell r="BT35">
            <v>7.0300000000000001E-2</v>
          </cell>
          <cell r="BU35">
            <v>1.6999999999999999E-3</v>
          </cell>
          <cell r="BV35">
            <v>3.2000000000000002E-3</v>
          </cell>
          <cell r="BW35">
            <v>2.2200000000000001E-2</v>
          </cell>
          <cell r="BX35">
            <v>1.6999999999999999E-3</v>
          </cell>
          <cell r="CC35">
            <v>27</v>
          </cell>
          <cell r="CD35">
            <v>0.61609999999999998</v>
          </cell>
          <cell r="CE35">
            <v>247.07089999999999</v>
          </cell>
          <cell r="CF35">
            <v>2.2100000000000002E-2</v>
          </cell>
          <cell r="CG35">
            <v>5.9999999999999995E-4</v>
          </cell>
          <cell r="CH35">
            <v>2.3999999999999998E-3</v>
          </cell>
          <cell r="CI35">
            <v>8.0000000000000002E-3</v>
          </cell>
          <cell r="CJ35">
            <v>5.9999999999999995E-4</v>
          </cell>
        </row>
        <row r="36">
          <cell r="AR36">
            <v>29</v>
          </cell>
          <cell r="AS36">
            <v>3.2500000000000001E-2</v>
          </cell>
          <cell r="AT36">
            <v>7.85E-2</v>
          </cell>
          <cell r="BQ36">
            <v>28</v>
          </cell>
          <cell r="BR36">
            <v>1.1042000000000001</v>
          </cell>
          <cell r="BS36">
            <v>318.04969999999997</v>
          </cell>
          <cell r="BT36">
            <v>6.9599999999999995E-2</v>
          </cell>
          <cell r="BU36">
            <v>1.6000000000000001E-3</v>
          </cell>
          <cell r="BV36">
            <v>3.0999999999999999E-3</v>
          </cell>
          <cell r="BW36">
            <v>2.1299999999999999E-2</v>
          </cell>
          <cell r="BX36">
            <v>1.6000000000000001E-3</v>
          </cell>
          <cell r="CC36">
            <v>28</v>
          </cell>
          <cell r="CD36">
            <v>0.61780000000000002</v>
          </cell>
          <cell r="CE36">
            <v>246.35390000000001</v>
          </cell>
          <cell r="CF36">
            <v>2.2200000000000001E-2</v>
          </cell>
          <cell r="CG36">
            <v>5.9999999999999995E-4</v>
          </cell>
          <cell r="CH36">
            <v>2.3999999999999998E-3</v>
          </cell>
          <cell r="CI36">
            <v>7.7999999999999996E-3</v>
          </cell>
          <cell r="CJ36">
            <v>5.9999999999999995E-4</v>
          </cell>
        </row>
        <row r="37">
          <cell r="AR37">
            <v>30</v>
          </cell>
          <cell r="AS37">
            <v>3.2199999999999999E-2</v>
          </cell>
          <cell r="AT37">
            <v>7.7600000000000002E-2</v>
          </cell>
          <cell r="BQ37">
            <v>29</v>
          </cell>
          <cell r="BR37">
            <v>1.0922000000000001</v>
          </cell>
          <cell r="BS37">
            <v>313.53550000000001</v>
          </cell>
          <cell r="BT37">
            <v>6.8900000000000003E-2</v>
          </cell>
          <cell r="BU37">
            <v>1.5E-3</v>
          </cell>
          <cell r="BV37">
            <v>3.0999999999999999E-3</v>
          </cell>
          <cell r="BW37">
            <v>2.0400000000000001E-2</v>
          </cell>
          <cell r="BX37">
            <v>1.5E-3</v>
          </cell>
          <cell r="CC37">
            <v>29</v>
          </cell>
          <cell r="CD37">
            <v>0.61950000000000005</v>
          </cell>
          <cell r="CE37">
            <v>245.63890000000001</v>
          </cell>
          <cell r="CF37">
            <v>2.24E-2</v>
          </cell>
          <cell r="CG37">
            <v>5.0000000000000001E-4</v>
          </cell>
          <cell r="CH37">
            <v>2.3999999999999998E-3</v>
          </cell>
          <cell r="CI37">
            <v>7.6E-3</v>
          </cell>
          <cell r="CJ37">
            <v>5.0000000000000001E-4</v>
          </cell>
        </row>
        <row r="38">
          <cell r="AR38">
            <v>31</v>
          </cell>
          <cell r="AS38">
            <v>3.1699999999999999E-2</v>
          </cell>
          <cell r="AT38">
            <v>7.7799999999999994E-2</v>
          </cell>
          <cell r="BQ38">
            <v>30</v>
          </cell>
          <cell r="BR38">
            <v>1.0804</v>
          </cell>
          <cell r="BS38">
            <v>309.08539999999999</v>
          </cell>
          <cell r="BT38">
            <v>6.8199999999999997E-2</v>
          </cell>
          <cell r="BU38">
            <v>1.5E-3</v>
          </cell>
          <cell r="BV38">
            <v>3.0999999999999999E-3</v>
          </cell>
          <cell r="BW38">
            <v>1.9599999999999999E-2</v>
          </cell>
          <cell r="BX38">
            <v>1.5E-3</v>
          </cell>
          <cell r="CC38">
            <v>30</v>
          </cell>
          <cell r="CD38">
            <v>0.62119999999999997</v>
          </cell>
          <cell r="CE38">
            <v>244.92609999999999</v>
          </cell>
          <cell r="CF38">
            <v>2.2499999999999999E-2</v>
          </cell>
          <cell r="CG38">
            <v>5.0000000000000001E-4</v>
          </cell>
          <cell r="CH38">
            <v>2.3999999999999998E-3</v>
          </cell>
          <cell r="CI38">
            <v>7.4000000000000003E-3</v>
          </cell>
          <cell r="CJ38">
            <v>5.0000000000000001E-4</v>
          </cell>
        </row>
        <row r="39">
          <cell r="AR39">
            <v>32</v>
          </cell>
          <cell r="AS39">
            <v>3.1300000000000001E-2</v>
          </cell>
          <cell r="AT39">
            <v>7.8100000000000003E-2</v>
          </cell>
          <cell r="BQ39">
            <v>31</v>
          </cell>
          <cell r="BR39">
            <v>1.0681</v>
          </cell>
          <cell r="BS39">
            <v>304.8313</v>
          </cell>
          <cell r="BT39">
            <v>6.7900000000000002E-2</v>
          </cell>
          <cell r="BU39">
            <v>1.4E-3</v>
          </cell>
          <cell r="BV39">
            <v>3.0000000000000001E-3</v>
          </cell>
          <cell r="BW39">
            <v>1.9E-2</v>
          </cell>
          <cell r="BX39">
            <v>1.4E-3</v>
          </cell>
          <cell r="CC39">
            <v>31</v>
          </cell>
          <cell r="CD39">
            <v>0.61260000000000003</v>
          </cell>
          <cell r="CE39">
            <v>241.3366</v>
          </cell>
          <cell r="CF39">
            <v>2.2200000000000001E-2</v>
          </cell>
          <cell r="CG39">
            <v>5.0000000000000001E-4</v>
          </cell>
          <cell r="CH39">
            <v>2.3999999999999998E-3</v>
          </cell>
          <cell r="CI39">
            <v>7.1000000000000004E-3</v>
          </cell>
          <cell r="CJ39">
            <v>5.0000000000000001E-4</v>
          </cell>
        </row>
        <row r="40">
          <cell r="AR40">
            <v>33</v>
          </cell>
          <cell r="AS40">
            <v>3.0800000000000001E-2</v>
          </cell>
          <cell r="AT40">
            <v>7.8399999999999997E-2</v>
          </cell>
          <cell r="BQ40">
            <v>32</v>
          </cell>
          <cell r="BR40">
            <v>1.0561</v>
          </cell>
          <cell r="BS40">
            <v>300.63569999999999</v>
          </cell>
          <cell r="BT40">
            <v>6.7500000000000004E-2</v>
          </cell>
          <cell r="BU40">
            <v>1.4E-3</v>
          </cell>
          <cell r="BV40">
            <v>3.0000000000000001E-3</v>
          </cell>
          <cell r="BW40">
            <v>1.84E-2</v>
          </cell>
          <cell r="BX40">
            <v>1.4E-3</v>
          </cell>
          <cell r="CC40">
            <v>32</v>
          </cell>
          <cell r="CD40">
            <v>0.60419999999999996</v>
          </cell>
          <cell r="CE40">
            <v>237.7997</v>
          </cell>
          <cell r="CF40">
            <v>2.1999999999999999E-2</v>
          </cell>
          <cell r="CG40">
            <v>5.0000000000000001E-4</v>
          </cell>
          <cell r="CH40">
            <v>2.3999999999999998E-3</v>
          </cell>
          <cell r="CI40">
            <v>6.7999999999999996E-3</v>
          </cell>
          <cell r="CJ40">
            <v>5.0000000000000001E-4</v>
          </cell>
        </row>
        <row r="41">
          <cell r="AR41">
            <v>34</v>
          </cell>
          <cell r="AS41">
            <v>3.04E-2</v>
          </cell>
          <cell r="AT41">
            <v>7.8700000000000006E-2</v>
          </cell>
          <cell r="BQ41">
            <v>33</v>
          </cell>
          <cell r="BR41">
            <v>1.0441</v>
          </cell>
          <cell r="BS41">
            <v>296.49790000000002</v>
          </cell>
          <cell r="BT41">
            <v>6.7100000000000007E-2</v>
          </cell>
          <cell r="BU41">
            <v>1.2999999999999999E-3</v>
          </cell>
          <cell r="BV41">
            <v>2.8999999999999998E-3</v>
          </cell>
          <cell r="BW41">
            <v>1.78E-2</v>
          </cell>
          <cell r="BX41">
            <v>1.2999999999999999E-3</v>
          </cell>
          <cell r="CC41">
            <v>33</v>
          </cell>
          <cell r="CD41">
            <v>0.59589999999999999</v>
          </cell>
          <cell r="CE41">
            <v>234.31469999999999</v>
          </cell>
          <cell r="CF41">
            <v>2.1700000000000001E-2</v>
          </cell>
          <cell r="CG41">
            <v>5.0000000000000001E-4</v>
          </cell>
          <cell r="CH41">
            <v>2.3E-3</v>
          </cell>
          <cell r="CI41">
            <v>6.4999999999999997E-3</v>
          </cell>
          <cell r="CJ41">
            <v>5.0000000000000001E-4</v>
          </cell>
        </row>
        <row r="42">
          <cell r="AR42">
            <v>35</v>
          </cell>
          <cell r="AS42">
            <v>0.03</v>
          </cell>
          <cell r="AT42">
            <v>7.9000000000000001E-2</v>
          </cell>
          <cell r="BQ42">
            <v>34</v>
          </cell>
          <cell r="BR42">
            <v>1.0323</v>
          </cell>
          <cell r="BS42">
            <v>292.4171</v>
          </cell>
          <cell r="BT42">
            <v>6.6699999999999995E-2</v>
          </cell>
          <cell r="BU42">
            <v>1.2999999999999999E-3</v>
          </cell>
          <cell r="BV42">
            <v>2.8999999999999998E-3</v>
          </cell>
          <cell r="BW42">
            <v>1.72E-2</v>
          </cell>
          <cell r="BX42">
            <v>1.2999999999999999E-3</v>
          </cell>
          <cell r="CC42">
            <v>34</v>
          </cell>
          <cell r="CD42">
            <v>0.5877</v>
          </cell>
          <cell r="CE42">
            <v>230.88069999999999</v>
          </cell>
          <cell r="CF42">
            <v>2.1499999999999998E-2</v>
          </cell>
          <cell r="CG42">
            <v>5.0000000000000001E-4</v>
          </cell>
          <cell r="CH42">
            <v>2.3E-3</v>
          </cell>
          <cell r="CI42">
            <v>6.3E-3</v>
          </cell>
          <cell r="CJ42">
            <v>5.0000000000000001E-4</v>
          </cell>
        </row>
        <row r="43">
          <cell r="AR43">
            <v>36</v>
          </cell>
          <cell r="AS43">
            <v>2.98E-2</v>
          </cell>
          <cell r="AT43">
            <v>7.9399999999999998E-2</v>
          </cell>
          <cell r="BQ43">
            <v>35</v>
          </cell>
          <cell r="BR43">
            <v>1.0206</v>
          </cell>
          <cell r="BS43">
            <v>288.39240000000001</v>
          </cell>
          <cell r="BT43">
            <v>6.6299999999999998E-2</v>
          </cell>
          <cell r="BU43">
            <v>1.1999999999999999E-3</v>
          </cell>
          <cell r="BV43">
            <v>2.8999999999999998E-3</v>
          </cell>
          <cell r="BW43">
            <v>1.67E-2</v>
          </cell>
          <cell r="BX43">
            <v>1.1999999999999999E-3</v>
          </cell>
          <cell r="CC43">
            <v>35</v>
          </cell>
          <cell r="CD43">
            <v>0.5796</v>
          </cell>
          <cell r="CE43">
            <v>227.49700000000001</v>
          </cell>
          <cell r="CF43">
            <v>2.12E-2</v>
          </cell>
          <cell r="CG43">
            <v>4.0000000000000002E-4</v>
          </cell>
          <cell r="CH43">
            <v>2.2000000000000001E-3</v>
          </cell>
          <cell r="CI43">
            <v>6.0000000000000001E-3</v>
          </cell>
          <cell r="CJ43">
            <v>4.0000000000000002E-4</v>
          </cell>
        </row>
        <row r="44">
          <cell r="AR44">
            <v>37</v>
          </cell>
          <cell r="AS44">
            <v>2.9700000000000001E-2</v>
          </cell>
          <cell r="AT44">
            <v>7.9899999999999999E-2</v>
          </cell>
          <cell r="BQ44">
            <v>36</v>
          </cell>
          <cell r="BR44">
            <v>1.0098</v>
          </cell>
          <cell r="BS44">
            <v>287.18729999999999</v>
          </cell>
          <cell r="BT44">
            <v>6.6100000000000006E-2</v>
          </cell>
          <cell r="BU44">
            <v>1.1999999999999999E-3</v>
          </cell>
          <cell r="BV44">
            <v>2.8E-3</v>
          </cell>
          <cell r="BW44">
            <v>1.6299999999999999E-2</v>
          </cell>
          <cell r="BX44">
            <v>1.1999999999999999E-3</v>
          </cell>
          <cell r="CC44">
            <v>36</v>
          </cell>
          <cell r="CD44">
            <v>0.57289999999999996</v>
          </cell>
          <cell r="CE44">
            <v>226.57159999999999</v>
          </cell>
          <cell r="CF44">
            <v>2.1100000000000001E-2</v>
          </cell>
          <cell r="CG44">
            <v>4.0000000000000002E-4</v>
          </cell>
          <cell r="CH44">
            <v>2.2000000000000001E-3</v>
          </cell>
          <cell r="CI44">
            <v>5.7999999999999996E-3</v>
          </cell>
          <cell r="CJ44">
            <v>4.0000000000000002E-4</v>
          </cell>
        </row>
        <row r="45">
          <cell r="AR45">
            <v>38</v>
          </cell>
          <cell r="AS45">
            <v>2.9600000000000001E-2</v>
          </cell>
          <cell r="AT45">
            <v>8.0299999999999996E-2</v>
          </cell>
          <cell r="BQ45">
            <v>37</v>
          </cell>
          <cell r="BR45">
            <v>0.99909999999999999</v>
          </cell>
          <cell r="BS45">
            <v>285.98719999999997</v>
          </cell>
          <cell r="BT45">
            <v>6.5799999999999997E-2</v>
          </cell>
          <cell r="BU45">
            <v>1.1999999999999999E-3</v>
          </cell>
          <cell r="BV45">
            <v>2.8E-3</v>
          </cell>
          <cell r="BW45">
            <v>1.5900000000000001E-2</v>
          </cell>
          <cell r="BX45">
            <v>1.1999999999999999E-3</v>
          </cell>
          <cell r="CC45">
            <v>37</v>
          </cell>
          <cell r="CD45">
            <v>0.56640000000000001</v>
          </cell>
          <cell r="CE45">
            <v>225.6499</v>
          </cell>
          <cell r="CF45">
            <v>2.1000000000000001E-2</v>
          </cell>
          <cell r="CG45">
            <v>4.0000000000000002E-4</v>
          </cell>
          <cell r="CH45">
            <v>2.2000000000000001E-3</v>
          </cell>
          <cell r="CI45">
            <v>5.7000000000000002E-3</v>
          </cell>
          <cell r="CJ45">
            <v>4.0000000000000002E-4</v>
          </cell>
        </row>
        <row r="46">
          <cell r="AR46">
            <v>39</v>
          </cell>
          <cell r="AS46">
            <v>2.9499999999999998E-2</v>
          </cell>
          <cell r="AT46">
            <v>8.0799999999999997E-2</v>
          </cell>
          <cell r="BQ46">
            <v>38</v>
          </cell>
          <cell r="BR46">
            <v>0.98850000000000005</v>
          </cell>
          <cell r="BS46">
            <v>284.79219999999998</v>
          </cell>
          <cell r="BT46">
            <v>6.5600000000000006E-2</v>
          </cell>
          <cell r="BU46">
            <v>1.1000000000000001E-3</v>
          </cell>
          <cell r="BV46">
            <v>2.8E-3</v>
          </cell>
          <cell r="BW46">
            <v>1.55E-2</v>
          </cell>
          <cell r="BX46">
            <v>1.1000000000000001E-3</v>
          </cell>
          <cell r="CC46">
            <v>38</v>
          </cell>
          <cell r="CD46">
            <v>0.55989999999999995</v>
          </cell>
          <cell r="CE46">
            <v>224.7319</v>
          </cell>
          <cell r="CF46">
            <v>2.0799999999999999E-2</v>
          </cell>
          <cell r="CG46">
            <v>4.0000000000000002E-4</v>
          </cell>
          <cell r="CH46">
            <v>2.2000000000000001E-3</v>
          </cell>
          <cell r="CI46">
            <v>5.4999999999999997E-3</v>
          </cell>
          <cell r="CJ46">
            <v>4.0000000000000002E-4</v>
          </cell>
        </row>
        <row r="47">
          <cell r="AR47">
            <v>40</v>
          </cell>
          <cell r="AS47">
            <v>2.93E-2</v>
          </cell>
          <cell r="AT47">
            <v>8.1199999999999994E-2</v>
          </cell>
          <cell r="BQ47">
            <v>39</v>
          </cell>
          <cell r="BR47">
            <v>0.97799999999999998</v>
          </cell>
          <cell r="BS47">
            <v>283.60210000000001</v>
          </cell>
          <cell r="BT47">
            <v>6.5299999999999997E-2</v>
          </cell>
          <cell r="BU47">
            <v>1.1000000000000001E-3</v>
          </cell>
          <cell r="BV47">
            <v>2.8E-3</v>
          </cell>
          <cell r="BW47">
            <v>1.52E-2</v>
          </cell>
          <cell r="BX47">
            <v>1.1000000000000001E-3</v>
          </cell>
          <cell r="CC47">
            <v>39</v>
          </cell>
          <cell r="CD47">
            <v>0.55349999999999999</v>
          </cell>
          <cell r="CE47">
            <v>223.8177</v>
          </cell>
          <cell r="CF47">
            <v>2.07E-2</v>
          </cell>
          <cell r="CG47">
            <v>4.0000000000000002E-4</v>
          </cell>
          <cell r="CH47">
            <v>2.2000000000000001E-3</v>
          </cell>
          <cell r="CI47">
            <v>5.3E-3</v>
          </cell>
          <cell r="CJ47">
            <v>4.0000000000000002E-4</v>
          </cell>
        </row>
        <row r="48">
          <cell r="AR48">
            <v>41</v>
          </cell>
          <cell r="AS48">
            <v>2.9399999999999999E-2</v>
          </cell>
          <cell r="AT48">
            <v>8.1299999999999997E-2</v>
          </cell>
          <cell r="BQ48">
            <v>40</v>
          </cell>
          <cell r="BR48">
            <v>0.9677</v>
          </cell>
          <cell r="BS48">
            <v>282.41699999999997</v>
          </cell>
          <cell r="BT48">
            <v>6.5100000000000005E-2</v>
          </cell>
          <cell r="BU48">
            <v>1.1000000000000001E-3</v>
          </cell>
          <cell r="BV48">
            <v>2.8E-3</v>
          </cell>
          <cell r="BW48">
            <v>1.4800000000000001E-2</v>
          </cell>
          <cell r="BX48">
            <v>1.1000000000000001E-3</v>
          </cell>
          <cell r="CC48">
            <v>40</v>
          </cell>
          <cell r="CD48">
            <v>0.54710000000000003</v>
          </cell>
          <cell r="CE48">
            <v>222.90719999999999</v>
          </cell>
          <cell r="CF48">
            <v>2.06E-2</v>
          </cell>
          <cell r="CG48">
            <v>4.0000000000000002E-4</v>
          </cell>
          <cell r="CH48">
            <v>2.2000000000000001E-3</v>
          </cell>
          <cell r="CI48">
            <v>5.1999999999999998E-3</v>
          </cell>
          <cell r="CJ48">
            <v>4.0000000000000002E-4</v>
          </cell>
        </row>
        <row r="49">
          <cell r="AR49">
            <v>42</v>
          </cell>
          <cell r="AS49">
            <v>2.9399999999999999E-2</v>
          </cell>
          <cell r="AT49">
            <v>8.1299999999999997E-2</v>
          </cell>
          <cell r="BQ49">
            <v>41</v>
          </cell>
          <cell r="BR49">
            <v>0.95420000000000005</v>
          </cell>
          <cell r="BS49">
            <v>282.63159999999999</v>
          </cell>
          <cell r="BT49">
            <v>6.4899999999999999E-2</v>
          </cell>
          <cell r="BU49">
            <v>1.1000000000000001E-3</v>
          </cell>
          <cell r="BV49">
            <v>2.8E-3</v>
          </cell>
          <cell r="BW49">
            <v>1.46E-2</v>
          </cell>
          <cell r="BX49">
            <v>1.1000000000000001E-3</v>
          </cell>
          <cell r="CC49">
            <v>41</v>
          </cell>
          <cell r="CD49">
            <v>0.53979999999999995</v>
          </cell>
          <cell r="CE49">
            <v>223.35849999999999</v>
          </cell>
          <cell r="CF49">
            <v>2.0500000000000001E-2</v>
          </cell>
          <cell r="CG49">
            <v>4.0000000000000002E-4</v>
          </cell>
          <cell r="CH49">
            <v>2.2000000000000001E-3</v>
          </cell>
          <cell r="CI49">
            <v>5.1000000000000004E-3</v>
          </cell>
          <cell r="CJ49">
            <v>4.0000000000000002E-4</v>
          </cell>
        </row>
        <row r="50">
          <cell r="E50">
            <v>3</v>
          </cell>
          <cell r="AR50">
            <v>43</v>
          </cell>
          <cell r="AS50">
            <v>2.9499999999999998E-2</v>
          </cell>
          <cell r="AT50">
            <v>8.14E-2</v>
          </cell>
          <cell r="BQ50">
            <v>42</v>
          </cell>
          <cell r="BR50">
            <v>0.94079999999999997</v>
          </cell>
          <cell r="BS50">
            <v>282.84640000000002</v>
          </cell>
          <cell r="BT50">
            <v>6.4699999999999994E-2</v>
          </cell>
          <cell r="BU50">
            <v>1E-3</v>
          </cell>
          <cell r="BV50">
            <v>2.8E-3</v>
          </cell>
          <cell r="BW50">
            <v>1.44E-2</v>
          </cell>
          <cell r="BX50">
            <v>1E-3</v>
          </cell>
          <cell r="CC50">
            <v>42</v>
          </cell>
          <cell r="CD50">
            <v>0.53249999999999997</v>
          </cell>
          <cell r="CE50">
            <v>223.8107</v>
          </cell>
          <cell r="CF50">
            <v>2.0500000000000001E-2</v>
          </cell>
          <cell r="CG50">
            <v>4.0000000000000002E-4</v>
          </cell>
          <cell r="CH50">
            <v>2.2000000000000001E-3</v>
          </cell>
          <cell r="CI50">
            <v>5.0000000000000001E-3</v>
          </cell>
          <cell r="CJ50">
            <v>4.0000000000000002E-4</v>
          </cell>
        </row>
        <row r="51">
          <cell r="E51">
            <v>2.8000000000000003</v>
          </cell>
          <cell r="AR51">
            <v>44</v>
          </cell>
          <cell r="AS51">
            <v>2.9499999999999998E-2</v>
          </cell>
          <cell r="AT51">
            <v>8.14E-2</v>
          </cell>
          <cell r="BQ51">
            <v>43</v>
          </cell>
          <cell r="BR51">
            <v>0.92769999999999997</v>
          </cell>
          <cell r="BS51">
            <v>283.06130000000002</v>
          </cell>
          <cell r="BT51">
            <v>6.4500000000000002E-2</v>
          </cell>
          <cell r="BU51">
            <v>1E-3</v>
          </cell>
          <cell r="BV51">
            <v>2.8E-3</v>
          </cell>
          <cell r="BW51">
            <v>1.4200000000000001E-2</v>
          </cell>
          <cell r="BX51">
            <v>1E-3</v>
          </cell>
          <cell r="CC51">
            <v>43</v>
          </cell>
          <cell r="CD51">
            <v>0.52529999999999999</v>
          </cell>
          <cell r="CE51">
            <v>224.2638</v>
          </cell>
          <cell r="CF51">
            <v>2.0400000000000001E-2</v>
          </cell>
          <cell r="CG51">
            <v>4.0000000000000002E-4</v>
          </cell>
          <cell r="CH51">
            <v>2.2000000000000001E-3</v>
          </cell>
          <cell r="CI51">
            <v>5.0000000000000001E-3</v>
          </cell>
          <cell r="CJ51">
            <v>4.0000000000000002E-4</v>
          </cell>
        </row>
        <row r="52">
          <cell r="AR52">
            <v>45</v>
          </cell>
          <cell r="AS52">
            <v>2.9499999999999998E-2</v>
          </cell>
          <cell r="AT52">
            <v>8.14E-2</v>
          </cell>
          <cell r="BQ52">
            <v>44</v>
          </cell>
          <cell r="BR52">
            <v>0.91469999999999996</v>
          </cell>
          <cell r="BS52">
            <v>283.27640000000002</v>
          </cell>
          <cell r="BT52">
            <v>6.4299999999999996E-2</v>
          </cell>
          <cell r="BU52">
            <v>1E-3</v>
          </cell>
          <cell r="BV52">
            <v>2.8E-3</v>
          </cell>
          <cell r="BW52">
            <v>1.4E-2</v>
          </cell>
          <cell r="BX52">
            <v>1E-3</v>
          </cell>
          <cell r="CC52">
            <v>44</v>
          </cell>
          <cell r="CD52">
            <v>0.51819999999999999</v>
          </cell>
          <cell r="CE52">
            <v>224.71789999999999</v>
          </cell>
          <cell r="CF52">
            <v>2.0299999999999999E-2</v>
          </cell>
          <cell r="CG52">
            <v>4.0000000000000002E-4</v>
          </cell>
          <cell r="CH52">
            <v>2.2000000000000001E-3</v>
          </cell>
          <cell r="CI52">
            <v>4.8999999999999998E-3</v>
          </cell>
          <cell r="CJ52">
            <v>4.0000000000000002E-4</v>
          </cell>
        </row>
        <row r="53">
          <cell r="AR53">
            <v>46</v>
          </cell>
          <cell r="AS53">
            <v>2.9899999999999999E-2</v>
          </cell>
          <cell r="AT53">
            <v>7.8600000000000003E-2</v>
          </cell>
          <cell r="BQ53">
            <v>45</v>
          </cell>
          <cell r="BR53">
            <v>0.90200000000000002</v>
          </cell>
          <cell r="BS53">
            <v>283.49169999999998</v>
          </cell>
          <cell r="BT53">
            <v>6.4100000000000004E-2</v>
          </cell>
          <cell r="BU53">
            <v>1E-3</v>
          </cell>
          <cell r="BV53">
            <v>2.8E-3</v>
          </cell>
          <cell r="BW53">
            <v>1.38E-2</v>
          </cell>
          <cell r="BX53">
            <v>1E-3</v>
          </cell>
          <cell r="CC53">
            <v>45</v>
          </cell>
          <cell r="CD53">
            <v>0.51119999999999999</v>
          </cell>
          <cell r="CE53">
            <v>225.1728</v>
          </cell>
          <cell r="CF53">
            <v>2.0299999999999999E-2</v>
          </cell>
          <cell r="CG53">
            <v>4.0000000000000002E-4</v>
          </cell>
          <cell r="CH53">
            <v>2.2000000000000001E-3</v>
          </cell>
          <cell r="CI53">
            <v>4.7999999999999996E-3</v>
          </cell>
          <cell r="CJ53">
            <v>4.0000000000000002E-4</v>
          </cell>
        </row>
        <row r="54">
          <cell r="E54">
            <v>0.35599999999999998</v>
          </cell>
          <cell r="AR54">
            <v>47</v>
          </cell>
          <cell r="AS54">
            <v>3.0200000000000001E-2</v>
          </cell>
          <cell r="AT54">
            <v>7.5800000000000006E-2</v>
          </cell>
          <cell r="BQ54">
            <v>46</v>
          </cell>
          <cell r="BR54">
            <v>0.89500000000000002</v>
          </cell>
          <cell r="BS54">
            <v>286.14699999999999</v>
          </cell>
          <cell r="BT54">
            <v>6.4299999999999996E-2</v>
          </cell>
          <cell r="BU54">
            <v>1E-3</v>
          </cell>
          <cell r="BV54">
            <v>2.8E-3</v>
          </cell>
          <cell r="BW54">
            <v>1.38E-2</v>
          </cell>
          <cell r="BX54">
            <v>1E-3</v>
          </cell>
          <cell r="CC54">
            <v>46</v>
          </cell>
          <cell r="CD54">
            <v>0.5081</v>
          </cell>
          <cell r="CE54">
            <v>228.05520000000001</v>
          </cell>
          <cell r="CF54">
            <v>2.0299999999999999E-2</v>
          </cell>
          <cell r="CG54">
            <v>4.0000000000000002E-4</v>
          </cell>
          <cell r="CH54">
            <v>2.3E-3</v>
          </cell>
          <cell r="CI54">
            <v>4.7999999999999996E-3</v>
          </cell>
          <cell r="CJ54">
            <v>4.0000000000000002E-4</v>
          </cell>
        </row>
        <row r="55">
          <cell r="E55">
            <v>0.44</v>
          </cell>
          <cell r="AR55">
            <v>48</v>
          </cell>
          <cell r="AS55">
            <v>3.0499999999999999E-2</v>
          </cell>
          <cell r="AT55">
            <v>7.3099999999999998E-2</v>
          </cell>
          <cell r="BQ55">
            <v>47</v>
          </cell>
          <cell r="BR55">
            <v>0.88819999999999999</v>
          </cell>
          <cell r="BS55">
            <v>288.82729999999998</v>
          </cell>
          <cell r="BT55">
            <v>6.4500000000000002E-2</v>
          </cell>
          <cell r="BU55">
            <v>1E-3</v>
          </cell>
          <cell r="BV55">
            <v>2.8999999999999998E-3</v>
          </cell>
          <cell r="BW55">
            <v>1.38E-2</v>
          </cell>
          <cell r="BX55">
            <v>1E-3</v>
          </cell>
          <cell r="CC55">
            <v>47</v>
          </cell>
          <cell r="CD55">
            <v>0.50509999999999999</v>
          </cell>
          <cell r="CE55">
            <v>230.97450000000001</v>
          </cell>
          <cell r="CF55">
            <v>2.0400000000000001E-2</v>
          </cell>
          <cell r="CG55">
            <v>4.0000000000000002E-4</v>
          </cell>
          <cell r="CH55">
            <v>2.3E-3</v>
          </cell>
          <cell r="CI55">
            <v>4.7999999999999996E-3</v>
          </cell>
          <cell r="CJ55">
            <v>4.0000000000000002E-4</v>
          </cell>
        </row>
        <row r="56">
          <cell r="AR56">
            <v>49</v>
          </cell>
          <cell r="AS56">
            <v>3.09E-2</v>
          </cell>
          <cell r="AT56">
            <v>7.0499999999999993E-2</v>
          </cell>
          <cell r="BQ56">
            <v>48</v>
          </cell>
          <cell r="BR56">
            <v>0.88139999999999996</v>
          </cell>
          <cell r="BS56">
            <v>291.5326</v>
          </cell>
          <cell r="BT56">
            <v>6.4699999999999994E-2</v>
          </cell>
          <cell r="BU56">
            <v>1E-3</v>
          </cell>
          <cell r="BV56">
            <v>2.8999999999999998E-3</v>
          </cell>
          <cell r="BW56">
            <v>1.37E-2</v>
          </cell>
          <cell r="BX56">
            <v>1E-3</v>
          </cell>
          <cell r="CC56">
            <v>48</v>
          </cell>
          <cell r="CD56">
            <v>0.50209999999999999</v>
          </cell>
          <cell r="CE56">
            <v>233.93119999999999</v>
          </cell>
          <cell r="CF56">
            <v>2.0500000000000001E-2</v>
          </cell>
          <cell r="CG56">
            <v>4.0000000000000002E-4</v>
          </cell>
          <cell r="CH56">
            <v>2.3E-3</v>
          </cell>
          <cell r="CI56">
            <v>4.7999999999999996E-3</v>
          </cell>
          <cell r="CJ56">
            <v>4.0000000000000002E-4</v>
          </cell>
        </row>
        <row r="57">
          <cell r="AR57">
            <v>50</v>
          </cell>
          <cell r="AS57">
            <v>3.1199999999999999E-2</v>
          </cell>
          <cell r="AT57">
            <v>6.8000000000000005E-2</v>
          </cell>
          <cell r="BQ57">
            <v>49</v>
          </cell>
          <cell r="BR57">
            <v>0.87460000000000004</v>
          </cell>
          <cell r="BS57">
            <v>294.26330000000002</v>
          </cell>
          <cell r="BT57">
            <v>6.4899999999999999E-2</v>
          </cell>
          <cell r="BU57">
            <v>1E-3</v>
          </cell>
          <cell r="BV57">
            <v>2.8999999999999998E-3</v>
          </cell>
          <cell r="BW57">
            <v>1.37E-2</v>
          </cell>
          <cell r="BX57">
            <v>1E-3</v>
          </cell>
          <cell r="CC57">
            <v>49</v>
          </cell>
          <cell r="CD57">
            <v>0.49909999999999999</v>
          </cell>
          <cell r="CE57">
            <v>236.92570000000001</v>
          </cell>
          <cell r="CF57">
            <v>2.06E-2</v>
          </cell>
          <cell r="CG57">
            <v>4.0000000000000002E-4</v>
          </cell>
          <cell r="CH57">
            <v>2.3E-3</v>
          </cell>
          <cell r="CI57">
            <v>4.7999999999999996E-3</v>
          </cell>
          <cell r="CJ57">
            <v>4.0000000000000002E-4</v>
          </cell>
        </row>
        <row r="58">
          <cell r="AR58">
            <v>51</v>
          </cell>
          <cell r="AS58">
            <v>3.1600000000000003E-2</v>
          </cell>
          <cell r="AT58">
            <v>7.0699999999999999E-2</v>
          </cell>
          <cell r="BQ58">
            <v>50</v>
          </cell>
          <cell r="BR58">
            <v>0.8679</v>
          </cell>
          <cell r="BS58">
            <v>297.01949999999999</v>
          </cell>
          <cell r="BT58">
            <v>6.5199999999999994E-2</v>
          </cell>
          <cell r="BU58">
            <v>1E-3</v>
          </cell>
          <cell r="BV58">
            <v>2.8999999999999998E-3</v>
          </cell>
          <cell r="BW58">
            <v>1.37E-2</v>
          </cell>
          <cell r="BX58">
            <v>1E-3</v>
          </cell>
          <cell r="CC58">
            <v>50</v>
          </cell>
          <cell r="CD58">
            <v>0.49609999999999999</v>
          </cell>
          <cell r="CE58">
            <v>239.95859999999999</v>
          </cell>
          <cell r="CF58">
            <v>2.07E-2</v>
          </cell>
          <cell r="CG58">
            <v>4.0000000000000002E-4</v>
          </cell>
          <cell r="CH58">
            <v>2.3999999999999998E-3</v>
          </cell>
          <cell r="CI58">
            <v>4.7999999999999996E-3</v>
          </cell>
          <cell r="CJ58">
            <v>4.0000000000000002E-4</v>
          </cell>
        </row>
        <row r="59">
          <cell r="AR59">
            <v>52</v>
          </cell>
          <cell r="AS59">
            <v>3.2099999999999997E-2</v>
          </cell>
          <cell r="AT59">
            <v>7.3499999999999996E-2</v>
          </cell>
          <cell r="BQ59">
            <v>51</v>
          </cell>
          <cell r="BR59">
            <v>0.86080000000000001</v>
          </cell>
          <cell r="BS59">
            <v>300.5677</v>
          </cell>
          <cell r="BT59">
            <v>6.5500000000000003E-2</v>
          </cell>
          <cell r="BU59">
            <v>1E-3</v>
          </cell>
          <cell r="BV59">
            <v>3.0000000000000001E-3</v>
          </cell>
          <cell r="BW59">
            <v>1.38E-2</v>
          </cell>
          <cell r="BX59">
            <v>1E-3</v>
          </cell>
          <cell r="CC59">
            <v>51</v>
          </cell>
          <cell r="CD59">
            <v>0.49370000000000003</v>
          </cell>
          <cell r="CE59">
            <v>243.83770000000001</v>
          </cell>
          <cell r="CF59">
            <v>2.0899999999999998E-2</v>
          </cell>
          <cell r="CG59">
            <v>4.0000000000000002E-4</v>
          </cell>
          <cell r="CH59">
            <v>2.3999999999999998E-3</v>
          </cell>
          <cell r="CI59">
            <v>4.8999999999999998E-3</v>
          </cell>
          <cell r="CJ59">
            <v>4.0000000000000002E-4</v>
          </cell>
        </row>
        <row r="60">
          <cell r="AR60">
            <v>53</v>
          </cell>
          <cell r="AS60">
            <v>3.2500000000000001E-2</v>
          </cell>
          <cell r="AT60">
            <v>7.6399999999999996E-2</v>
          </cell>
          <cell r="BQ60">
            <v>52</v>
          </cell>
          <cell r="BR60">
            <v>0.85370000000000001</v>
          </cell>
          <cell r="BS60">
            <v>304.1583</v>
          </cell>
          <cell r="BT60">
            <v>6.59E-2</v>
          </cell>
          <cell r="BU60">
            <v>1E-3</v>
          </cell>
          <cell r="BV60">
            <v>3.0000000000000001E-3</v>
          </cell>
          <cell r="BW60">
            <v>1.3899999999999999E-2</v>
          </cell>
          <cell r="BX60">
            <v>1E-3</v>
          </cell>
          <cell r="CC60">
            <v>52</v>
          </cell>
          <cell r="CD60">
            <v>0.49130000000000001</v>
          </cell>
          <cell r="CE60">
            <v>247.77940000000001</v>
          </cell>
          <cell r="CF60">
            <v>2.1100000000000001E-2</v>
          </cell>
          <cell r="CG60">
            <v>4.0000000000000002E-4</v>
          </cell>
          <cell r="CH60">
            <v>2.3999999999999998E-3</v>
          </cell>
          <cell r="CI60">
            <v>4.8999999999999998E-3</v>
          </cell>
          <cell r="CJ60">
            <v>4.0000000000000002E-4</v>
          </cell>
        </row>
        <row r="61">
          <cell r="E61">
            <v>11600000</v>
          </cell>
          <cell r="AR61">
            <v>54</v>
          </cell>
          <cell r="AS61">
            <v>3.3000000000000002E-2</v>
          </cell>
          <cell r="AT61">
            <v>7.9399999999999998E-2</v>
          </cell>
          <cell r="BQ61">
            <v>53</v>
          </cell>
          <cell r="BR61">
            <v>0.84670000000000001</v>
          </cell>
          <cell r="BS61">
            <v>307.79180000000002</v>
          </cell>
          <cell r="BT61">
            <v>6.6299999999999998E-2</v>
          </cell>
          <cell r="BU61">
            <v>1E-3</v>
          </cell>
          <cell r="BV61">
            <v>3.0000000000000001E-3</v>
          </cell>
          <cell r="BW61">
            <v>1.4E-2</v>
          </cell>
          <cell r="BX61">
            <v>1E-3</v>
          </cell>
          <cell r="CC61">
            <v>53</v>
          </cell>
          <cell r="CD61">
            <v>0.4889</v>
          </cell>
          <cell r="CE61">
            <v>251.78489999999999</v>
          </cell>
          <cell r="CF61">
            <v>2.1299999999999999E-2</v>
          </cell>
          <cell r="CG61">
            <v>4.0000000000000002E-4</v>
          </cell>
          <cell r="CH61">
            <v>2.5000000000000001E-3</v>
          </cell>
          <cell r="CI61">
            <v>5.0000000000000001E-3</v>
          </cell>
          <cell r="CJ61">
            <v>4.0000000000000002E-4</v>
          </cell>
        </row>
        <row r="62">
          <cell r="AR62">
            <v>55</v>
          </cell>
          <cell r="AS62">
            <v>3.3399999999999999E-2</v>
          </cell>
          <cell r="AT62">
            <v>8.2600000000000007E-2</v>
          </cell>
          <cell r="BQ62">
            <v>54</v>
          </cell>
          <cell r="BR62">
            <v>0.83979999999999999</v>
          </cell>
          <cell r="BS62">
            <v>311.46870000000001</v>
          </cell>
          <cell r="BT62">
            <v>6.6699999999999995E-2</v>
          </cell>
          <cell r="BU62">
            <v>1E-3</v>
          </cell>
          <cell r="BV62">
            <v>3.0999999999999999E-3</v>
          </cell>
          <cell r="BW62">
            <v>1.41E-2</v>
          </cell>
          <cell r="BX62">
            <v>1E-3</v>
          </cell>
          <cell r="CC62">
            <v>54</v>
          </cell>
          <cell r="CD62">
            <v>0.48659999999999998</v>
          </cell>
          <cell r="CE62">
            <v>255.8552</v>
          </cell>
          <cell r="CF62">
            <v>2.1499999999999998E-2</v>
          </cell>
          <cell r="CG62">
            <v>4.0000000000000002E-4</v>
          </cell>
          <cell r="CH62">
            <v>2.5000000000000001E-3</v>
          </cell>
          <cell r="CI62">
            <v>5.1000000000000004E-3</v>
          </cell>
          <cell r="CJ62">
            <v>4.0000000000000002E-4</v>
          </cell>
        </row>
        <row r="63">
          <cell r="AR63">
            <v>56</v>
          </cell>
          <cell r="AS63">
            <v>3.3700000000000001E-2</v>
          </cell>
          <cell r="AT63">
            <v>8.6499999999999994E-2</v>
          </cell>
          <cell r="BQ63">
            <v>55</v>
          </cell>
          <cell r="BR63">
            <v>0.83289999999999997</v>
          </cell>
          <cell r="BS63">
            <v>315.18950000000001</v>
          </cell>
          <cell r="BT63">
            <v>6.7100000000000007E-2</v>
          </cell>
          <cell r="BU63">
            <v>1E-3</v>
          </cell>
          <cell r="BV63">
            <v>3.0999999999999999E-3</v>
          </cell>
          <cell r="BW63">
            <v>1.4200000000000001E-2</v>
          </cell>
          <cell r="BX63">
            <v>1E-3</v>
          </cell>
          <cell r="CC63">
            <v>55</v>
          </cell>
          <cell r="CD63">
            <v>0.48420000000000002</v>
          </cell>
          <cell r="CE63">
            <v>259.99119999999999</v>
          </cell>
          <cell r="CF63">
            <v>2.1700000000000001E-2</v>
          </cell>
          <cell r="CG63">
            <v>4.0000000000000002E-4</v>
          </cell>
          <cell r="CH63">
            <v>2.5999999999999999E-3</v>
          </cell>
          <cell r="CI63">
            <v>5.1000000000000004E-3</v>
          </cell>
          <cell r="CJ63">
            <v>4.0000000000000002E-4</v>
          </cell>
        </row>
        <row r="64">
          <cell r="AR64">
            <v>57</v>
          </cell>
          <cell r="AS64">
            <v>3.4000000000000002E-2</v>
          </cell>
          <cell r="AT64">
            <v>9.0700000000000003E-2</v>
          </cell>
          <cell r="BQ64">
            <v>56</v>
          </cell>
          <cell r="BR64">
            <v>0.81669999999999998</v>
          </cell>
          <cell r="BS64">
            <v>317.38749999999999</v>
          </cell>
          <cell r="BT64">
            <v>6.6799999999999998E-2</v>
          </cell>
          <cell r="BU64">
            <v>1E-3</v>
          </cell>
          <cell r="BV64">
            <v>3.0999999999999999E-3</v>
          </cell>
          <cell r="BW64">
            <v>1.43E-2</v>
          </cell>
          <cell r="BX64">
            <v>1E-3</v>
          </cell>
          <cell r="CC64">
            <v>56</v>
          </cell>
          <cell r="CD64">
            <v>0.47720000000000001</v>
          </cell>
          <cell r="CE64">
            <v>262.64600000000002</v>
          </cell>
          <cell r="CF64">
            <v>2.18E-2</v>
          </cell>
          <cell r="CG64">
            <v>4.0000000000000002E-4</v>
          </cell>
          <cell r="CH64">
            <v>2.5999999999999999E-3</v>
          </cell>
          <cell r="CI64">
            <v>5.1999999999999998E-3</v>
          </cell>
          <cell r="CJ64">
            <v>4.0000000000000002E-4</v>
          </cell>
        </row>
        <row r="65">
          <cell r="AR65">
            <v>58</v>
          </cell>
          <cell r="AS65">
            <v>3.4299999999999997E-2</v>
          </cell>
          <cell r="AT65">
            <v>9.5000000000000001E-2</v>
          </cell>
          <cell r="BQ65">
            <v>57</v>
          </cell>
          <cell r="BR65">
            <v>0.80079999999999996</v>
          </cell>
          <cell r="BS65">
            <v>319.60090000000002</v>
          </cell>
          <cell r="BT65">
            <v>6.6600000000000006E-2</v>
          </cell>
          <cell r="BU65">
            <v>1E-3</v>
          </cell>
          <cell r="BV65">
            <v>3.2000000000000002E-3</v>
          </cell>
          <cell r="BW65">
            <v>1.44E-2</v>
          </cell>
          <cell r="BX65">
            <v>1E-3</v>
          </cell>
          <cell r="CC65">
            <v>57</v>
          </cell>
          <cell r="CD65">
            <v>0.4703</v>
          </cell>
          <cell r="CE65">
            <v>265.3279</v>
          </cell>
          <cell r="CF65">
            <v>2.1999999999999999E-2</v>
          </cell>
          <cell r="CG65">
            <v>4.0000000000000002E-4</v>
          </cell>
          <cell r="CH65">
            <v>2.5999999999999999E-3</v>
          </cell>
          <cell r="CI65">
            <v>5.3E-3</v>
          </cell>
          <cell r="CJ65">
            <v>4.0000000000000002E-4</v>
          </cell>
        </row>
        <row r="66">
          <cell r="AR66">
            <v>59</v>
          </cell>
          <cell r="AS66">
            <v>3.4500000000000003E-2</v>
          </cell>
          <cell r="AT66">
            <v>9.9500000000000005E-2</v>
          </cell>
          <cell r="BQ66">
            <v>58</v>
          </cell>
          <cell r="BR66">
            <v>0.78520000000000001</v>
          </cell>
          <cell r="BS66">
            <v>321.8297</v>
          </cell>
          <cell r="BT66">
            <v>6.6400000000000001E-2</v>
          </cell>
          <cell r="BU66">
            <v>1.1000000000000001E-3</v>
          </cell>
          <cell r="BV66">
            <v>3.2000000000000002E-3</v>
          </cell>
          <cell r="BW66">
            <v>1.44E-2</v>
          </cell>
          <cell r="BX66">
            <v>1.1000000000000001E-3</v>
          </cell>
          <cell r="CC66">
            <v>58</v>
          </cell>
          <cell r="CD66">
            <v>0.46350000000000002</v>
          </cell>
          <cell r="CE66">
            <v>268.03719999999998</v>
          </cell>
          <cell r="CF66">
            <v>2.2200000000000001E-2</v>
          </cell>
          <cell r="CG66">
            <v>4.0000000000000002E-4</v>
          </cell>
          <cell r="CH66">
            <v>2.5999999999999999E-3</v>
          </cell>
          <cell r="CI66">
            <v>5.4000000000000003E-3</v>
          </cell>
          <cell r="CJ66">
            <v>4.0000000000000002E-4</v>
          </cell>
        </row>
        <row r="67">
          <cell r="AR67">
            <v>60</v>
          </cell>
          <cell r="AS67">
            <v>3.4799999999999998E-2</v>
          </cell>
          <cell r="AT67">
            <v>0.1043</v>
          </cell>
          <cell r="BQ67">
            <v>59</v>
          </cell>
          <cell r="BR67">
            <v>0.76990000000000003</v>
          </cell>
          <cell r="BS67">
            <v>324.07400000000001</v>
          </cell>
          <cell r="BT67">
            <v>6.6199999999999995E-2</v>
          </cell>
          <cell r="BU67">
            <v>1.1000000000000001E-3</v>
          </cell>
          <cell r="BV67">
            <v>3.2000000000000002E-3</v>
          </cell>
          <cell r="BW67">
            <v>1.4500000000000001E-2</v>
          </cell>
          <cell r="BX67">
            <v>1.1000000000000001E-3</v>
          </cell>
          <cell r="CC67">
            <v>59</v>
          </cell>
          <cell r="CD67">
            <v>0.45679999999999998</v>
          </cell>
          <cell r="CE67">
            <v>270.77409999999998</v>
          </cell>
          <cell r="CF67">
            <v>2.23E-2</v>
          </cell>
          <cell r="CG67">
            <v>4.0000000000000002E-4</v>
          </cell>
          <cell r="CH67">
            <v>2.7000000000000001E-3</v>
          </cell>
          <cell r="CI67">
            <v>5.4999999999999997E-3</v>
          </cell>
          <cell r="CJ67">
            <v>4.0000000000000002E-4</v>
          </cell>
        </row>
        <row r="68">
          <cell r="E68">
            <v>4600</v>
          </cell>
          <cell r="AR68">
            <v>61</v>
          </cell>
          <cell r="AS68">
            <v>3.5099999999999999E-2</v>
          </cell>
          <cell r="AT68">
            <v>0.1062</v>
          </cell>
          <cell r="BQ68">
            <v>60</v>
          </cell>
          <cell r="BR68">
            <v>0.75490000000000002</v>
          </cell>
          <cell r="BS68">
            <v>326.334</v>
          </cell>
          <cell r="BT68">
            <v>6.6000000000000003E-2</v>
          </cell>
          <cell r="BU68">
            <v>1.1000000000000001E-3</v>
          </cell>
          <cell r="BV68">
            <v>3.2000000000000002E-3</v>
          </cell>
          <cell r="BW68">
            <v>1.46E-2</v>
          </cell>
          <cell r="BX68">
            <v>1.1000000000000001E-3</v>
          </cell>
          <cell r="CC68">
            <v>60</v>
          </cell>
          <cell r="CD68">
            <v>0.45019999999999999</v>
          </cell>
          <cell r="CE68">
            <v>273.53899999999999</v>
          </cell>
          <cell r="CF68">
            <v>2.2499999999999999E-2</v>
          </cell>
          <cell r="CG68">
            <v>4.0000000000000002E-4</v>
          </cell>
          <cell r="CH68">
            <v>2.7000000000000001E-3</v>
          </cell>
          <cell r="CI68">
            <v>5.7000000000000002E-3</v>
          </cell>
          <cell r="CJ68">
            <v>4.0000000000000002E-4</v>
          </cell>
        </row>
        <row r="69">
          <cell r="AR69">
            <v>62</v>
          </cell>
          <cell r="AS69">
            <v>3.5299999999999998E-2</v>
          </cell>
          <cell r="AT69">
            <v>0.10829999999999999</v>
          </cell>
          <cell r="BQ69">
            <v>61</v>
          </cell>
          <cell r="BR69">
            <v>0.75190000000000001</v>
          </cell>
          <cell r="BS69">
            <v>328.7321</v>
          </cell>
          <cell r="BT69">
            <v>6.7199999999999996E-2</v>
          </cell>
          <cell r="BU69">
            <v>1.1000000000000001E-3</v>
          </cell>
          <cell r="BV69">
            <v>3.2000000000000002E-3</v>
          </cell>
          <cell r="BW69">
            <v>1.5100000000000001E-2</v>
          </cell>
          <cell r="BX69">
            <v>1.1000000000000001E-3</v>
          </cell>
          <cell r="CC69">
            <v>61</v>
          </cell>
          <cell r="CD69">
            <v>0.44550000000000001</v>
          </cell>
          <cell r="CE69">
            <v>275.30180000000001</v>
          </cell>
          <cell r="CF69">
            <v>2.2700000000000001E-2</v>
          </cell>
          <cell r="CG69">
            <v>4.0000000000000002E-4</v>
          </cell>
          <cell r="CH69">
            <v>2.7000000000000001E-3</v>
          </cell>
          <cell r="CI69">
            <v>5.7999999999999996E-3</v>
          </cell>
          <cell r="CJ69">
            <v>4.0000000000000002E-4</v>
          </cell>
        </row>
        <row r="70">
          <cell r="AR70">
            <v>63</v>
          </cell>
          <cell r="AS70">
            <v>3.56E-2</v>
          </cell>
          <cell r="AT70">
            <v>0.1104</v>
          </cell>
          <cell r="BQ70">
            <v>62</v>
          </cell>
          <cell r="BR70">
            <v>0.749</v>
          </cell>
          <cell r="BS70">
            <v>331.14769999999999</v>
          </cell>
          <cell r="BT70">
            <v>6.8400000000000002E-2</v>
          </cell>
          <cell r="BU70">
            <v>1.1000000000000001E-3</v>
          </cell>
          <cell r="BV70">
            <v>3.3E-3</v>
          </cell>
          <cell r="BW70">
            <v>1.5599999999999999E-2</v>
          </cell>
          <cell r="BX70">
            <v>1.1000000000000001E-3</v>
          </cell>
          <cell r="CC70">
            <v>62</v>
          </cell>
          <cell r="CD70">
            <v>0.44080000000000003</v>
          </cell>
          <cell r="CE70">
            <v>277.07600000000002</v>
          </cell>
          <cell r="CF70">
            <v>2.29E-2</v>
          </cell>
          <cell r="CG70">
            <v>4.0000000000000002E-4</v>
          </cell>
          <cell r="CH70">
            <v>2.7000000000000001E-3</v>
          </cell>
          <cell r="CI70">
            <v>5.8999999999999999E-3</v>
          </cell>
          <cell r="CJ70">
            <v>4.0000000000000002E-4</v>
          </cell>
        </row>
        <row r="71">
          <cell r="AR71">
            <v>64</v>
          </cell>
          <cell r="AS71">
            <v>3.5799999999999998E-2</v>
          </cell>
          <cell r="AT71">
            <v>0.1125</v>
          </cell>
          <cell r="BQ71">
            <v>63</v>
          </cell>
          <cell r="BR71">
            <v>0.746</v>
          </cell>
          <cell r="BS71">
            <v>333.58120000000002</v>
          </cell>
          <cell r="BT71">
            <v>6.9699999999999998E-2</v>
          </cell>
          <cell r="BU71">
            <v>1.1999999999999999E-3</v>
          </cell>
          <cell r="BV71">
            <v>3.3E-3</v>
          </cell>
          <cell r="BW71">
            <v>1.6E-2</v>
          </cell>
          <cell r="BX71">
            <v>1.1999999999999999E-3</v>
          </cell>
          <cell r="CC71">
            <v>63</v>
          </cell>
          <cell r="CD71">
            <v>0.43619999999999998</v>
          </cell>
          <cell r="CE71">
            <v>278.86160000000001</v>
          </cell>
          <cell r="CF71">
            <v>2.3099999999999999E-2</v>
          </cell>
          <cell r="CG71">
            <v>4.0000000000000002E-4</v>
          </cell>
          <cell r="CH71">
            <v>2.8E-3</v>
          </cell>
          <cell r="CI71">
            <v>6.1000000000000004E-3</v>
          </cell>
          <cell r="CJ71">
            <v>4.0000000000000002E-4</v>
          </cell>
        </row>
        <row r="72">
          <cell r="AR72">
            <v>65</v>
          </cell>
          <cell r="AS72">
            <v>3.61E-2</v>
          </cell>
          <cell r="AT72">
            <v>0.11459999999999999</v>
          </cell>
          <cell r="BQ72">
            <v>64</v>
          </cell>
          <cell r="BR72">
            <v>0.74299999999999999</v>
          </cell>
          <cell r="BS72">
            <v>336.03250000000003</v>
          </cell>
          <cell r="BT72">
            <v>7.0999999999999994E-2</v>
          </cell>
          <cell r="BU72">
            <v>1.1999999999999999E-3</v>
          </cell>
          <cell r="BV72">
            <v>3.3E-3</v>
          </cell>
          <cell r="BW72">
            <v>1.6500000000000001E-2</v>
          </cell>
          <cell r="BX72">
            <v>1.1999999999999999E-3</v>
          </cell>
          <cell r="CC72">
            <v>64</v>
          </cell>
          <cell r="CD72">
            <v>0.43159999999999998</v>
          </cell>
          <cell r="CE72">
            <v>280.65870000000001</v>
          </cell>
          <cell r="CF72">
            <v>2.3300000000000001E-2</v>
          </cell>
          <cell r="CG72">
            <v>5.0000000000000001E-4</v>
          </cell>
          <cell r="CH72">
            <v>2.8E-3</v>
          </cell>
          <cell r="CI72">
            <v>6.1999999999999998E-3</v>
          </cell>
          <cell r="CJ72">
            <v>5.0000000000000001E-4</v>
          </cell>
        </row>
        <row r="73">
          <cell r="AR73">
            <v>66</v>
          </cell>
          <cell r="AS73">
            <v>3.61E-2</v>
          </cell>
          <cell r="AT73">
            <v>0.1138</v>
          </cell>
          <cell r="BQ73">
            <v>65</v>
          </cell>
          <cell r="BR73">
            <v>0.74009999999999998</v>
          </cell>
          <cell r="BS73">
            <v>338.5018</v>
          </cell>
          <cell r="BT73">
            <v>7.2300000000000003E-2</v>
          </cell>
          <cell r="BU73">
            <v>1.1999999999999999E-3</v>
          </cell>
          <cell r="BV73">
            <v>3.3E-3</v>
          </cell>
          <cell r="BW73">
            <v>1.7100000000000001E-2</v>
          </cell>
          <cell r="BX73">
            <v>1.1999999999999999E-3</v>
          </cell>
          <cell r="CC73">
            <v>65</v>
          </cell>
          <cell r="CD73">
            <v>0.42709999999999998</v>
          </cell>
          <cell r="CE73">
            <v>282.46730000000002</v>
          </cell>
          <cell r="CF73">
            <v>2.35E-2</v>
          </cell>
          <cell r="CG73">
            <v>5.0000000000000001E-4</v>
          </cell>
          <cell r="CH73">
            <v>2.8E-3</v>
          </cell>
          <cell r="CI73">
            <v>6.4000000000000003E-3</v>
          </cell>
          <cell r="CJ73">
            <v>5.0000000000000001E-4</v>
          </cell>
        </row>
        <row r="74">
          <cell r="AR74">
            <v>67</v>
          </cell>
          <cell r="AS74">
            <v>3.6200000000000003E-2</v>
          </cell>
          <cell r="AT74">
            <v>0.113</v>
          </cell>
          <cell r="BQ74">
            <v>66</v>
          </cell>
          <cell r="BR74">
            <v>0.73799999999999999</v>
          </cell>
          <cell r="BS74">
            <v>339.07780000000002</v>
          </cell>
          <cell r="BT74">
            <v>7.2800000000000004E-2</v>
          </cell>
          <cell r="BU74">
            <v>1.1999999999999999E-3</v>
          </cell>
          <cell r="BV74">
            <v>3.3999999999999998E-3</v>
          </cell>
          <cell r="BW74">
            <v>1.72E-2</v>
          </cell>
          <cell r="BX74">
            <v>1.1999999999999999E-3</v>
          </cell>
          <cell r="CC74">
            <v>66</v>
          </cell>
          <cell r="CD74">
            <v>0.42499999999999999</v>
          </cell>
          <cell r="CE74">
            <v>283.24509999999998</v>
          </cell>
          <cell r="CF74">
            <v>2.3599999999999999E-2</v>
          </cell>
          <cell r="CG74">
            <v>5.0000000000000001E-4</v>
          </cell>
          <cell r="CH74">
            <v>2.8E-3</v>
          </cell>
          <cell r="CI74">
            <v>6.4999999999999997E-3</v>
          </cell>
          <cell r="CJ74">
            <v>5.0000000000000001E-4</v>
          </cell>
        </row>
        <row r="75">
          <cell r="AR75">
            <v>68</v>
          </cell>
          <cell r="AS75">
            <v>3.6299999999999999E-2</v>
          </cell>
          <cell r="AT75">
            <v>0.1123</v>
          </cell>
          <cell r="BQ75">
            <v>67</v>
          </cell>
          <cell r="BR75">
            <v>0.7359</v>
          </cell>
          <cell r="BS75">
            <v>339.65469999999999</v>
          </cell>
          <cell r="BT75">
            <v>7.3200000000000001E-2</v>
          </cell>
          <cell r="BU75">
            <v>1.2999999999999999E-3</v>
          </cell>
          <cell r="BV75">
            <v>3.3999999999999998E-3</v>
          </cell>
          <cell r="BW75">
            <v>1.7299999999999999E-2</v>
          </cell>
          <cell r="BX75">
            <v>1.2999999999999999E-3</v>
          </cell>
          <cell r="CC75">
            <v>67</v>
          </cell>
          <cell r="CD75">
            <v>0.4229</v>
          </cell>
          <cell r="CE75">
            <v>284.02499999999998</v>
          </cell>
          <cell r="CF75">
            <v>2.3699999999999999E-2</v>
          </cell>
          <cell r="CG75">
            <v>5.0000000000000001E-4</v>
          </cell>
          <cell r="CH75">
            <v>2.8E-3</v>
          </cell>
          <cell r="CI75">
            <v>6.6E-3</v>
          </cell>
          <cell r="CJ75">
            <v>5.0000000000000001E-4</v>
          </cell>
        </row>
        <row r="76">
          <cell r="AR76">
            <v>69</v>
          </cell>
          <cell r="AS76">
            <v>3.6400000000000002E-2</v>
          </cell>
          <cell r="AT76">
            <v>0.1115</v>
          </cell>
          <cell r="BQ76">
            <v>68</v>
          </cell>
          <cell r="BR76">
            <v>0.73380000000000001</v>
          </cell>
          <cell r="BS76">
            <v>340.23259999999999</v>
          </cell>
          <cell r="BT76">
            <v>7.3700000000000002E-2</v>
          </cell>
          <cell r="BU76">
            <v>1.2999999999999999E-3</v>
          </cell>
          <cell r="BV76">
            <v>3.3999999999999998E-3</v>
          </cell>
          <cell r="BW76">
            <v>1.7500000000000002E-2</v>
          </cell>
          <cell r="BX76">
            <v>1.2999999999999999E-3</v>
          </cell>
          <cell r="CC76">
            <v>68</v>
          </cell>
          <cell r="CD76">
            <v>0.42080000000000001</v>
          </cell>
          <cell r="CE76">
            <v>284.80700000000002</v>
          </cell>
          <cell r="CF76">
            <v>2.3800000000000002E-2</v>
          </cell>
          <cell r="CG76">
            <v>5.0000000000000001E-4</v>
          </cell>
          <cell r="CH76">
            <v>2.8E-3</v>
          </cell>
          <cell r="CI76">
            <v>6.7000000000000002E-3</v>
          </cell>
          <cell r="CJ76">
            <v>5.0000000000000001E-4</v>
          </cell>
        </row>
        <row r="77">
          <cell r="AR77">
            <v>70</v>
          </cell>
          <cell r="AS77">
            <v>3.6499999999999998E-2</v>
          </cell>
          <cell r="AT77">
            <v>0.11070000000000001</v>
          </cell>
          <cell r="BQ77">
            <v>69</v>
          </cell>
          <cell r="BR77">
            <v>0.73180000000000001</v>
          </cell>
          <cell r="BS77">
            <v>340.81150000000002</v>
          </cell>
          <cell r="BT77">
            <v>7.4200000000000002E-2</v>
          </cell>
          <cell r="BU77">
            <v>1.2999999999999999E-3</v>
          </cell>
          <cell r="BV77">
            <v>3.3999999999999998E-3</v>
          </cell>
          <cell r="BW77">
            <v>1.7600000000000001E-2</v>
          </cell>
          <cell r="BX77">
            <v>1.2999999999999999E-3</v>
          </cell>
          <cell r="CC77">
            <v>69</v>
          </cell>
          <cell r="CD77">
            <v>0.41870000000000002</v>
          </cell>
          <cell r="CE77">
            <v>285.59120000000001</v>
          </cell>
          <cell r="CF77">
            <v>2.3900000000000001E-2</v>
          </cell>
          <cell r="CG77">
            <v>5.0000000000000001E-4</v>
          </cell>
          <cell r="CH77">
            <v>2.8E-3</v>
          </cell>
          <cell r="CI77">
            <v>6.7999999999999996E-3</v>
          </cell>
          <cell r="CJ77">
            <v>5.0000000000000001E-4</v>
          </cell>
        </row>
        <row r="78">
          <cell r="BQ78">
            <v>70</v>
          </cell>
          <cell r="BR78">
            <v>0.72970000000000002</v>
          </cell>
          <cell r="BS78">
            <v>341.39139999999998</v>
          </cell>
          <cell r="BT78">
            <v>7.46E-2</v>
          </cell>
          <cell r="BU78">
            <v>1.2999999999999999E-3</v>
          </cell>
          <cell r="BV78">
            <v>3.3999999999999998E-3</v>
          </cell>
          <cell r="BW78">
            <v>1.78E-2</v>
          </cell>
          <cell r="BX78">
            <v>1.2999999999999999E-3</v>
          </cell>
          <cell r="CC78">
            <v>70</v>
          </cell>
          <cell r="CD78">
            <v>0.41660000000000003</v>
          </cell>
          <cell r="CE78">
            <v>286.3775</v>
          </cell>
          <cell r="CF78">
            <v>2.41E-2</v>
          </cell>
          <cell r="CG78">
            <v>5.0000000000000001E-4</v>
          </cell>
          <cell r="CH78">
            <v>2.8E-3</v>
          </cell>
          <cell r="CI78">
            <v>6.8999999999999999E-3</v>
          </cell>
          <cell r="CJ78">
            <v>5.0000000000000001E-4</v>
          </cell>
        </row>
        <row r="80">
          <cell r="BQ80">
            <v>0</v>
          </cell>
          <cell r="BR80">
            <v>1.3149999999999999</v>
          </cell>
          <cell r="BS80">
            <v>11.029400000000001</v>
          </cell>
          <cell r="BT80">
            <v>1.0065</v>
          </cell>
          <cell r="BU80">
            <v>1E-4</v>
          </cell>
          <cell r="BV80">
            <v>1E-4</v>
          </cell>
          <cell r="BW80">
            <v>7.0300000000000001E-2</v>
          </cell>
          <cell r="BX80">
            <v>1E-4</v>
          </cell>
          <cell r="CC80">
            <v>0</v>
          </cell>
          <cell r="CD80">
            <v>0.66590000000000005</v>
          </cell>
          <cell r="CE80">
            <v>5.1022999999999996</v>
          </cell>
          <cell r="CF80">
            <v>0.76559999999999995</v>
          </cell>
          <cell r="CG80">
            <v>0</v>
          </cell>
          <cell r="CH80">
            <v>1E-4</v>
          </cell>
          <cell r="CI80">
            <v>2.0299999999999999E-2</v>
          </cell>
          <cell r="CJ80">
            <v>0</v>
          </cell>
        </row>
        <row r="81">
          <cell r="BQ81">
            <v>5</v>
          </cell>
          <cell r="BR81">
            <v>2.3136000000000001</v>
          </cell>
          <cell r="BS81">
            <v>1696.8925999999999</v>
          </cell>
          <cell r="BT81">
            <v>2.1959</v>
          </cell>
          <cell r="BU81">
            <v>4.5999999999999999E-2</v>
          </cell>
          <cell r="BV81">
            <v>1.6400000000000001E-2</v>
          </cell>
          <cell r="BW81">
            <v>0.30649999999999999</v>
          </cell>
          <cell r="BX81">
            <v>4.5999999999999999E-2</v>
          </cell>
          <cell r="CC81">
            <v>5</v>
          </cell>
          <cell r="CD81">
            <v>0.65159999999999996</v>
          </cell>
          <cell r="CE81">
            <v>865.16229999999996</v>
          </cell>
          <cell r="CF81">
            <v>0.42770000000000002</v>
          </cell>
          <cell r="CG81">
            <v>9.4999999999999998E-3</v>
          </cell>
          <cell r="CH81">
            <v>8.3000000000000001E-3</v>
          </cell>
          <cell r="CI81">
            <v>4.7800000000000002E-2</v>
          </cell>
          <cell r="CJ81">
            <v>9.4999999999999998E-3</v>
          </cell>
        </row>
        <row r="82">
          <cell r="BQ82">
            <v>6</v>
          </cell>
          <cell r="BR82">
            <v>2.2435999999999998</v>
          </cell>
          <cell r="BS82">
            <v>1668.3322000000001</v>
          </cell>
          <cell r="BT82">
            <v>2.2233000000000001</v>
          </cell>
          <cell r="BU82">
            <v>4.4299999999999999E-2</v>
          </cell>
          <cell r="BV82">
            <v>1.61E-2</v>
          </cell>
          <cell r="BW82">
            <v>0.28810000000000002</v>
          </cell>
          <cell r="BX82">
            <v>4.4299999999999999E-2</v>
          </cell>
          <cell r="CC82">
            <v>6</v>
          </cell>
          <cell r="CD82">
            <v>0.66249999999999998</v>
          </cell>
          <cell r="CE82">
            <v>866.04849999999999</v>
          </cell>
          <cell r="CF82">
            <v>0.50160000000000005</v>
          </cell>
          <cell r="CG82">
            <v>9.1999999999999998E-3</v>
          </cell>
          <cell r="CH82">
            <v>8.3000000000000001E-3</v>
          </cell>
          <cell r="CI82">
            <v>4.65E-2</v>
          </cell>
          <cell r="CJ82">
            <v>9.1999999999999998E-3</v>
          </cell>
        </row>
        <row r="83">
          <cell r="BQ83">
            <v>7</v>
          </cell>
          <cell r="BR83">
            <v>2.1757</v>
          </cell>
          <cell r="BS83">
            <v>1640.2524000000001</v>
          </cell>
          <cell r="BT83">
            <v>2.2511000000000001</v>
          </cell>
          <cell r="BU83">
            <v>4.2599999999999999E-2</v>
          </cell>
          <cell r="BV83">
            <v>1.5699999999999999E-2</v>
          </cell>
          <cell r="BW83">
            <v>0.27079999999999999</v>
          </cell>
          <cell r="BX83">
            <v>4.2599999999999999E-2</v>
          </cell>
          <cell r="CC83">
            <v>7</v>
          </cell>
          <cell r="CD83">
            <v>0.67369999999999997</v>
          </cell>
          <cell r="CE83">
            <v>866.9357</v>
          </cell>
          <cell r="CF83">
            <v>0.58819999999999995</v>
          </cell>
          <cell r="CG83">
            <v>8.9999999999999993E-3</v>
          </cell>
          <cell r="CH83">
            <v>8.2000000000000007E-3</v>
          </cell>
          <cell r="CI83">
            <v>4.53E-2</v>
          </cell>
          <cell r="CJ83">
            <v>8.9999999999999993E-3</v>
          </cell>
        </row>
        <row r="84">
          <cell r="BQ84">
            <v>8</v>
          </cell>
          <cell r="BR84">
            <v>2.1097999999999999</v>
          </cell>
          <cell r="BS84">
            <v>1612.6452999999999</v>
          </cell>
          <cell r="BT84">
            <v>2.2791999999999999</v>
          </cell>
          <cell r="BU84">
            <v>4.1000000000000002E-2</v>
          </cell>
          <cell r="BV84">
            <v>1.54E-2</v>
          </cell>
          <cell r="BW84">
            <v>0.25459999999999999</v>
          </cell>
          <cell r="BX84">
            <v>4.1000000000000002E-2</v>
          </cell>
          <cell r="CC84">
            <v>8</v>
          </cell>
          <cell r="CD84">
            <v>0.68500000000000005</v>
          </cell>
          <cell r="CE84">
            <v>867.82380000000001</v>
          </cell>
          <cell r="CF84">
            <v>0.68969999999999998</v>
          </cell>
          <cell r="CG84">
            <v>8.6999999999999994E-3</v>
          </cell>
          <cell r="CH84">
            <v>8.2000000000000007E-3</v>
          </cell>
          <cell r="CI84">
            <v>4.41E-2</v>
          </cell>
          <cell r="CJ84">
            <v>8.6999999999999994E-3</v>
          </cell>
        </row>
        <row r="85">
          <cell r="BQ85">
            <v>9</v>
          </cell>
          <cell r="BR85">
            <v>2.0459999999999998</v>
          </cell>
          <cell r="BS85">
            <v>1585.5029</v>
          </cell>
          <cell r="BT85">
            <v>2.3075999999999999</v>
          </cell>
          <cell r="BU85">
            <v>3.95E-2</v>
          </cell>
          <cell r="BV85">
            <v>1.5100000000000001E-2</v>
          </cell>
          <cell r="BW85">
            <v>0.23930000000000001</v>
          </cell>
          <cell r="BX85">
            <v>3.95E-2</v>
          </cell>
          <cell r="CC85">
            <v>9</v>
          </cell>
          <cell r="CD85">
            <v>0.6966</v>
          </cell>
          <cell r="CE85">
            <v>868.71280000000002</v>
          </cell>
          <cell r="CF85">
            <v>0.80879999999999996</v>
          </cell>
          <cell r="CG85">
            <v>8.3999999999999995E-3</v>
          </cell>
          <cell r="CH85">
            <v>8.2000000000000007E-3</v>
          </cell>
          <cell r="CI85">
            <v>4.2999999999999997E-2</v>
          </cell>
          <cell r="CJ85">
            <v>8.3999999999999995E-3</v>
          </cell>
        </row>
        <row r="86">
          <cell r="BQ86">
            <v>10</v>
          </cell>
          <cell r="BR86">
            <v>1.9841</v>
          </cell>
          <cell r="BS86">
            <v>1558.8172</v>
          </cell>
          <cell r="BT86">
            <v>2.3365</v>
          </cell>
          <cell r="BU86">
            <v>3.7999999999999999E-2</v>
          </cell>
          <cell r="BV86">
            <v>1.4800000000000001E-2</v>
          </cell>
          <cell r="BW86">
            <v>0.22489999999999999</v>
          </cell>
          <cell r="BX86">
            <v>3.7999999999999999E-2</v>
          </cell>
          <cell r="CC86">
            <v>10</v>
          </cell>
          <cell r="CD86">
            <v>0.70830000000000004</v>
          </cell>
          <cell r="CE86">
            <v>869.60270000000003</v>
          </cell>
          <cell r="CF86">
            <v>0.94840000000000002</v>
          </cell>
          <cell r="CG86">
            <v>8.2000000000000007E-3</v>
          </cell>
          <cell r="CH86">
            <v>8.0999999999999996E-3</v>
          </cell>
          <cell r="CI86">
            <v>4.19E-2</v>
          </cell>
          <cell r="CJ86">
            <v>8.2000000000000007E-3</v>
          </cell>
        </row>
        <row r="87">
          <cell r="BQ87">
            <v>11</v>
          </cell>
          <cell r="BR87">
            <v>1.8688</v>
          </cell>
          <cell r="BS87">
            <v>1490.2475999999999</v>
          </cell>
          <cell r="BT87">
            <v>2.1839</v>
          </cell>
          <cell r="BU87">
            <v>3.5999999999999997E-2</v>
          </cell>
          <cell r="BV87">
            <v>1.41E-2</v>
          </cell>
          <cell r="BW87">
            <v>0.21110000000000001</v>
          </cell>
          <cell r="BX87">
            <v>3.5999999999999997E-2</v>
          </cell>
          <cell r="CC87">
            <v>11</v>
          </cell>
          <cell r="CD87">
            <v>0.66</v>
          </cell>
          <cell r="CE87">
            <v>836.53880000000004</v>
          </cell>
          <cell r="CF87">
            <v>0.88519999999999999</v>
          </cell>
          <cell r="CG87">
            <v>7.9000000000000008E-3</v>
          </cell>
          <cell r="CH87">
            <v>7.7999999999999996E-3</v>
          </cell>
          <cell r="CI87">
            <v>3.9800000000000002E-2</v>
          </cell>
          <cell r="CJ87">
            <v>7.9000000000000008E-3</v>
          </cell>
        </row>
        <row r="88">
          <cell r="BQ88">
            <v>12</v>
          </cell>
          <cell r="BR88">
            <v>1.7601</v>
          </cell>
          <cell r="BS88">
            <v>1424.6943000000001</v>
          </cell>
          <cell r="BT88">
            <v>2.0413000000000001</v>
          </cell>
          <cell r="BU88">
            <v>3.4099999999999998E-2</v>
          </cell>
          <cell r="BV88">
            <v>1.35E-2</v>
          </cell>
          <cell r="BW88">
            <v>0.1981</v>
          </cell>
          <cell r="BX88">
            <v>3.4099999999999998E-2</v>
          </cell>
          <cell r="CC88">
            <v>12</v>
          </cell>
          <cell r="CD88">
            <v>0.61499999999999999</v>
          </cell>
          <cell r="CE88">
            <v>804.73209999999995</v>
          </cell>
          <cell r="CF88">
            <v>0.82609999999999995</v>
          </cell>
          <cell r="CG88">
            <v>7.7000000000000002E-3</v>
          </cell>
          <cell r="CH88">
            <v>7.4999999999999997E-3</v>
          </cell>
          <cell r="CI88">
            <v>3.78E-2</v>
          </cell>
          <cell r="CJ88">
            <v>7.7000000000000002E-3</v>
          </cell>
        </row>
        <row r="89">
          <cell r="BQ89">
            <v>13</v>
          </cell>
          <cell r="BR89">
            <v>1.6577999999999999</v>
          </cell>
          <cell r="BS89">
            <v>1362.0246</v>
          </cell>
          <cell r="BT89">
            <v>1.9079999999999999</v>
          </cell>
          <cell r="BU89">
            <v>3.2300000000000002E-2</v>
          </cell>
          <cell r="BV89">
            <v>1.29E-2</v>
          </cell>
          <cell r="BW89">
            <v>0.186</v>
          </cell>
          <cell r="BX89">
            <v>3.2300000000000002E-2</v>
          </cell>
          <cell r="CC89">
            <v>13</v>
          </cell>
          <cell r="CD89">
            <v>0.57310000000000005</v>
          </cell>
          <cell r="CE89">
            <v>774.13480000000004</v>
          </cell>
          <cell r="CF89">
            <v>0.77100000000000002</v>
          </cell>
          <cell r="CG89">
            <v>7.4000000000000003E-3</v>
          </cell>
          <cell r="CH89">
            <v>7.3000000000000001E-3</v>
          </cell>
          <cell r="CI89">
            <v>3.5900000000000001E-2</v>
          </cell>
          <cell r="CJ89">
            <v>7.4000000000000003E-3</v>
          </cell>
        </row>
        <row r="90">
          <cell r="BQ90">
            <v>14</v>
          </cell>
          <cell r="BR90">
            <v>1.5615000000000001</v>
          </cell>
          <cell r="BS90">
            <v>1302.1116</v>
          </cell>
          <cell r="BT90">
            <v>1.7834000000000001</v>
          </cell>
          <cell r="BU90">
            <v>3.0599999999999999E-2</v>
          </cell>
          <cell r="BV90">
            <v>1.24E-2</v>
          </cell>
          <cell r="BW90">
            <v>0.17460000000000001</v>
          </cell>
          <cell r="BX90">
            <v>3.0599999999999999E-2</v>
          </cell>
          <cell r="CC90">
            <v>14</v>
          </cell>
          <cell r="CD90">
            <v>0.53400000000000003</v>
          </cell>
          <cell r="CE90">
            <v>744.70079999999996</v>
          </cell>
          <cell r="CF90">
            <v>0.71960000000000002</v>
          </cell>
          <cell r="CG90">
            <v>7.1999999999999998E-3</v>
          </cell>
          <cell r="CH90">
            <v>7.0000000000000001E-3</v>
          </cell>
          <cell r="CI90">
            <v>3.4099999999999998E-2</v>
          </cell>
          <cell r="CJ90">
            <v>7.1999999999999998E-3</v>
          </cell>
        </row>
        <row r="91">
          <cell r="BQ91">
            <v>15</v>
          </cell>
          <cell r="BR91">
            <v>1.4706999999999999</v>
          </cell>
          <cell r="BS91">
            <v>1244.8340000000001</v>
          </cell>
          <cell r="BT91">
            <v>1.667</v>
          </cell>
          <cell r="BU91">
            <v>2.9000000000000001E-2</v>
          </cell>
          <cell r="BV91">
            <v>1.18E-2</v>
          </cell>
          <cell r="BW91">
            <v>0.16389999999999999</v>
          </cell>
          <cell r="BX91">
            <v>2.9000000000000001E-2</v>
          </cell>
          <cell r="CC91">
            <v>15</v>
          </cell>
          <cell r="CD91">
            <v>0.49759999999999999</v>
          </cell>
          <cell r="CE91">
            <v>716.38599999999997</v>
          </cell>
          <cell r="CF91">
            <v>0.67159999999999997</v>
          </cell>
          <cell r="CG91">
            <v>7.0000000000000001E-3</v>
          </cell>
          <cell r="CH91">
            <v>6.7000000000000002E-3</v>
          </cell>
          <cell r="CI91">
            <v>3.2399999999999998E-2</v>
          </cell>
          <cell r="CJ91">
            <v>7.0000000000000001E-3</v>
          </cell>
        </row>
        <row r="92">
          <cell r="BQ92">
            <v>16</v>
          </cell>
          <cell r="BR92">
            <v>1.3769</v>
          </cell>
          <cell r="BS92">
            <v>1231.6228000000001</v>
          </cell>
          <cell r="BT92">
            <v>1.6476999999999999</v>
          </cell>
          <cell r="BU92">
            <v>2.69E-2</v>
          </cell>
          <cell r="BV92">
            <v>1.17E-2</v>
          </cell>
          <cell r="BW92">
            <v>0.1517</v>
          </cell>
          <cell r="BX92">
            <v>2.69E-2</v>
          </cell>
          <cell r="CC92">
            <v>16</v>
          </cell>
          <cell r="CD92">
            <v>0.45839999999999997</v>
          </cell>
          <cell r="CE92">
            <v>707.56700000000001</v>
          </cell>
          <cell r="CF92">
            <v>0.67120000000000002</v>
          </cell>
          <cell r="CG92">
            <v>6.6E-3</v>
          </cell>
          <cell r="CH92">
            <v>6.7000000000000002E-3</v>
          </cell>
          <cell r="CI92">
            <v>3.0300000000000001E-2</v>
          </cell>
          <cell r="CJ92">
            <v>6.6E-3</v>
          </cell>
        </row>
        <row r="93">
          <cell r="BQ93">
            <v>17</v>
          </cell>
          <cell r="BR93">
            <v>1.2889999999999999</v>
          </cell>
          <cell r="BS93">
            <v>1218.5517</v>
          </cell>
          <cell r="BT93">
            <v>1.6286</v>
          </cell>
          <cell r="BU93">
            <v>2.5100000000000001E-2</v>
          </cell>
          <cell r="BV93">
            <v>1.1599999999999999E-2</v>
          </cell>
          <cell r="BW93">
            <v>0.1404</v>
          </cell>
          <cell r="BX93">
            <v>2.5100000000000001E-2</v>
          </cell>
          <cell r="CC93">
            <v>17</v>
          </cell>
          <cell r="CD93">
            <v>0.42220000000000002</v>
          </cell>
          <cell r="CE93">
            <v>698.85659999999996</v>
          </cell>
          <cell r="CF93">
            <v>0.67090000000000005</v>
          </cell>
          <cell r="CG93">
            <v>6.1999999999999998E-3</v>
          </cell>
          <cell r="CH93">
            <v>6.6E-3</v>
          </cell>
          <cell r="CI93">
            <v>2.8299999999999999E-2</v>
          </cell>
          <cell r="CJ93">
            <v>6.1999999999999998E-3</v>
          </cell>
        </row>
        <row r="94">
          <cell r="BQ94">
            <v>18</v>
          </cell>
          <cell r="BR94">
            <v>1.2067000000000001</v>
          </cell>
          <cell r="BS94">
            <v>1205.6194</v>
          </cell>
          <cell r="BT94">
            <v>1.6096999999999999</v>
          </cell>
          <cell r="BU94">
            <v>2.3300000000000001E-2</v>
          </cell>
          <cell r="BV94">
            <v>1.15E-2</v>
          </cell>
          <cell r="BW94">
            <v>0.13</v>
          </cell>
          <cell r="BX94">
            <v>2.3300000000000001E-2</v>
          </cell>
          <cell r="CC94">
            <v>18</v>
          </cell>
          <cell r="CD94">
            <v>0.38900000000000001</v>
          </cell>
          <cell r="CE94">
            <v>690.25340000000006</v>
          </cell>
          <cell r="CF94">
            <v>0.67059999999999997</v>
          </cell>
          <cell r="CG94">
            <v>5.7999999999999996E-3</v>
          </cell>
          <cell r="CH94">
            <v>6.4999999999999997E-3</v>
          </cell>
          <cell r="CI94">
            <v>2.6499999999999999E-2</v>
          </cell>
          <cell r="CJ94">
            <v>5.7999999999999996E-3</v>
          </cell>
        </row>
        <row r="95">
          <cell r="BQ95">
            <v>19</v>
          </cell>
          <cell r="BR95">
            <v>1.1296999999999999</v>
          </cell>
          <cell r="BS95">
            <v>1192.8244</v>
          </cell>
          <cell r="BT95">
            <v>1.591</v>
          </cell>
          <cell r="BU95">
            <v>2.1700000000000001E-2</v>
          </cell>
          <cell r="BV95">
            <v>1.1299999999999999E-2</v>
          </cell>
          <cell r="BW95">
            <v>0.12039999999999999</v>
          </cell>
          <cell r="BX95">
            <v>2.1700000000000001E-2</v>
          </cell>
          <cell r="CC95">
            <v>19</v>
          </cell>
          <cell r="CD95">
            <v>0.35830000000000001</v>
          </cell>
          <cell r="CE95">
            <v>681.75620000000004</v>
          </cell>
          <cell r="CF95">
            <v>0.67030000000000001</v>
          </cell>
          <cell r="CG95">
            <v>5.4999999999999997E-3</v>
          </cell>
          <cell r="CH95">
            <v>6.4000000000000003E-3</v>
          </cell>
          <cell r="CI95">
            <v>2.47E-2</v>
          </cell>
          <cell r="CJ95">
            <v>5.4999999999999997E-3</v>
          </cell>
        </row>
        <row r="96">
          <cell r="BQ96">
            <v>20</v>
          </cell>
          <cell r="BR96">
            <v>1.0576000000000001</v>
          </cell>
          <cell r="BS96">
            <v>1180.1650999999999</v>
          </cell>
          <cell r="BT96">
            <v>1.5726</v>
          </cell>
          <cell r="BU96">
            <v>2.01E-2</v>
          </cell>
          <cell r="BV96">
            <v>1.12E-2</v>
          </cell>
          <cell r="BW96">
            <v>0.1114</v>
          </cell>
          <cell r="BX96">
            <v>2.01E-2</v>
          </cell>
          <cell r="CC96">
            <v>20</v>
          </cell>
          <cell r="CD96">
            <v>0.33</v>
          </cell>
          <cell r="CE96">
            <v>673.36350000000004</v>
          </cell>
          <cell r="CF96">
            <v>0.66990000000000005</v>
          </cell>
          <cell r="CG96">
            <v>5.1999999999999998E-3</v>
          </cell>
          <cell r="CH96">
            <v>6.3E-3</v>
          </cell>
          <cell r="CI96">
            <v>2.3099999999999999E-2</v>
          </cell>
          <cell r="CJ96">
            <v>5.1999999999999998E-3</v>
          </cell>
        </row>
        <row r="97">
          <cell r="BQ97">
            <v>21</v>
          </cell>
          <cell r="BR97">
            <v>1.0154000000000001</v>
          </cell>
          <cell r="BS97">
            <v>1138.1322</v>
          </cell>
          <cell r="BT97">
            <v>1.5314000000000001</v>
          </cell>
          <cell r="BU97">
            <v>1.9900000000000001E-2</v>
          </cell>
          <cell r="BV97">
            <v>1.0800000000000001E-2</v>
          </cell>
          <cell r="BW97">
            <v>0.1089</v>
          </cell>
          <cell r="BX97">
            <v>1.9900000000000001E-2</v>
          </cell>
          <cell r="CC97">
            <v>21</v>
          </cell>
          <cell r="CD97">
            <v>0.31569999999999998</v>
          </cell>
          <cell r="CE97">
            <v>654.89210000000003</v>
          </cell>
          <cell r="CF97">
            <v>0.63229999999999997</v>
          </cell>
          <cell r="CG97">
            <v>5.1000000000000004E-3</v>
          </cell>
          <cell r="CH97">
            <v>6.1999999999999998E-3</v>
          </cell>
          <cell r="CI97">
            <v>2.3E-2</v>
          </cell>
          <cell r="CJ97">
            <v>5.1000000000000004E-3</v>
          </cell>
        </row>
        <row r="98">
          <cell r="BQ98">
            <v>22</v>
          </cell>
          <cell r="BR98">
            <v>0.97489999999999999</v>
          </cell>
          <cell r="BS98">
            <v>1097.5963999999999</v>
          </cell>
          <cell r="BT98">
            <v>1.4913000000000001</v>
          </cell>
          <cell r="BU98">
            <v>1.9699999999999999E-2</v>
          </cell>
          <cell r="BV98">
            <v>1.04E-2</v>
          </cell>
          <cell r="BW98">
            <v>0.1065</v>
          </cell>
          <cell r="BX98">
            <v>1.9699999999999999E-2</v>
          </cell>
          <cell r="CC98">
            <v>22</v>
          </cell>
          <cell r="CD98">
            <v>0.30209999999999998</v>
          </cell>
          <cell r="CE98">
            <v>636.92740000000003</v>
          </cell>
          <cell r="CF98">
            <v>0.5968</v>
          </cell>
          <cell r="CG98">
            <v>5.1000000000000004E-3</v>
          </cell>
          <cell r="CH98">
            <v>6.0000000000000001E-3</v>
          </cell>
          <cell r="CI98">
            <v>2.29E-2</v>
          </cell>
          <cell r="CJ98">
            <v>5.1000000000000004E-3</v>
          </cell>
        </row>
        <row r="99">
          <cell r="BQ99">
            <v>23</v>
          </cell>
          <cell r="BR99">
            <v>0.93610000000000004</v>
          </cell>
          <cell r="BS99">
            <v>1058.5043000000001</v>
          </cell>
          <cell r="BT99">
            <v>1.4521999999999999</v>
          </cell>
          <cell r="BU99">
            <v>1.95E-2</v>
          </cell>
          <cell r="BV99">
            <v>1.01E-2</v>
          </cell>
          <cell r="BW99">
            <v>0.1041</v>
          </cell>
          <cell r="BX99">
            <v>1.95E-2</v>
          </cell>
          <cell r="CC99">
            <v>23</v>
          </cell>
          <cell r="CD99">
            <v>0.28899999999999998</v>
          </cell>
          <cell r="CE99">
            <v>619.45550000000003</v>
          </cell>
          <cell r="CF99">
            <v>0.56320000000000003</v>
          </cell>
          <cell r="CG99">
            <v>5.0000000000000001E-3</v>
          </cell>
          <cell r="CH99">
            <v>5.7999999999999996E-3</v>
          </cell>
          <cell r="CI99">
            <v>2.2700000000000001E-2</v>
          </cell>
          <cell r="CJ99">
            <v>5.0000000000000001E-3</v>
          </cell>
        </row>
        <row r="100">
          <cell r="BQ100">
            <v>24</v>
          </cell>
          <cell r="BR100">
            <v>0.89880000000000004</v>
          </cell>
          <cell r="BS100">
            <v>1020.8046000000001</v>
          </cell>
          <cell r="BT100">
            <v>1.4140999999999999</v>
          </cell>
          <cell r="BU100">
            <v>1.9199999999999998E-2</v>
          </cell>
          <cell r="BV100">
            <v>9.7000000000000003E-3</v>
          </cell>
          <cell r="BW100">
            <v>0.1017</v>
          </cell>
          <cell r="BX100">
            <v>1.9199999999999998E-2</v>
          </cell>
          <cell r="CC100">
            <v>24</v>
          </cell>
          <cell r="CD100">
            <v>0.27650000000000002</v>
          </cell>
          <cell r="CE100">
            <v>602.46289999999999</v>
          </cell>
          <cell r="CF100">
            <v>0.53159999999999996</v>
          </cell>
          <cell r="CG100">
            <v>5.0000000000000001E-3</v>
          </cell>
          <cell r="CH100">
            <v>5.7000000000000002E-3</v>
          </cell>
          <cell r="CI100">
            <v>2.2599999999999999E-2</v>
          </cell>
          <cell r="CJ100">
            <v>5.0000000000000001E-3</v>
          </cell>
        </row>
        <row r="101">
          <cell r="BQ101">
            <v>25</v>
          </cell>
          <cell r="BR101">
            <v>0.8629</v>
          </cell>
          <cell r="BS101">
            <v>984.44749999999999</v>
          </cell>
          <cell r="BT101">
            <v>1.3771</v>
          </cell>
          <cell r="BU101">
            <v>1.9E-2</v>
          </cell>
          <cell r="BV101">
            <v>9.2999999999999992E-3</v>
          </cell>
          <cell r="BW101">
            <v>9.9500000000000005E-2</v>
          </cell>
          <cell r="BX101">
            <v>1.9E-2</v>
          </cell>
          <cell r="CC101">
            <v>25</v>
          </cell>
          <cell r="CD101">
            <v>0.26450000000000001</v>
          </cell>
          <cell r="CE101">
            <v>585.93640000000005</v>
          </cell>
          <cell r="CF101">
            <v>0.50170000000000003</v>
          </cell>
          <cell r="CG101">
            <v>4.8999999999999998E-3</v>
          </cell>
          <cell r="CH101">
            <v>5.4999999999999997E-3</v>
          </cell>
          <cell r="CI101">
            <v>2.2499999999999999E-2</v>
          </cell>
          <cell r="CJ101">
            <v>4.8999999999999998E-3</v>
          </cell>
        </row>
        <row r="102">
          <cell r="BQ102">
            <v>26</v>
          </cell>
          <cell r="BR102">
            <v>0.82969999999999999</v>
          </cell>
          <cell r="BS102">
            <v>974.59040000000005</v>
          </cell>
          <cell r="BT102">
            <v>1.3491</v>
          </cell>
          <cell r="BU102">
            <v>1.7999999999999999E-2</v>
          </cell>
          <cell r="BV102">
            <v>9.1999999999999998E-3</v>
          </cell>
          <cell r="BW102">
            <v>9.35E-2</v>
          </cell>
          <cell r="BX102">
            <v>1.7999999999999999E-2</v>
          </cell>
          <cell r="CC102">
            <v>26</v>
          </cell>
          <cell r="CD102">
            <v>0.2525</v>
          </cell>
          <cell r="CE102">
            <v>579.66480000000001</v>
          </cell>
          <cell r="CF102">
            <v>0.48359999999999997</v>
          </cell>
          <cell r="CG102">
            <v>4.7000000000000002E-3</v>
          </cell>
          <cell r="CH102">
            <v>5.4000000000000003E-3</v>
          </cell>
          <cell r="CI102">
            <v>2.1299999999999999E-2</v>
          </cell>
          <cell r="CJ102">
            <v>4.7000000000000002E-3</v>
          </cell>
        </row>
        <row r="103">
          <cell r="BQ103">
            <v>27</v>
          </cell>
          <cell r="BR103">
            <v>0.79769999999999996</v>
          </cell>
          <cell r="BS103">
            <v>964.83190000000002</v>
          </cell>
          <cell r="BT103">
            <v>1.3216000000000001</v>
          </cell>
          <cell r="BU103">
            <v>1.7000000000000001E-2</v>
          </cell>
          <cell r="BV103">
            <v>9.1000000000000004E-3</v>
          </cell>
          <cell r="BW103">
            <v>8.7900000000000006E-2</v>
          </cell>
          <cell r="BX103">
            <v>1.7000000000000001E-2</v>
          </cell>
          <cell r="CC103">
            <v>27</v>
          </cell>
          <cell r="CD103">
            <v>0.24099999999999999</v>
          </cell>
          <cell r="CE103">
            <v>573.46029999999996</v>
          </cell>
          <cell r="CF103">
            <v>0.4662</v>
          </cell>
          <cell r="CG103">
            <v>4.4999999999999997E-3</v>
          </cell>
          <cell r="CH103">
            <v>5.4000000000000003E-3</v>
          </cell>
          <cell r="CI103">
            <v>2.0199999999999999E-2</v>
          </cell>
          <cell r="CJ103">
            <v>4.4999999999999997E-3</v>
          </cell>
        </row>
        <row r="104">
          <cell r="BQ104">
            <v>28</v>
          </cell>
          <cell r="BR104">
            <v>0.76700000000000002</v>
          </cell>
          <cell r="BS104">
            <v>955.1712</v>
          </cell>
          <cell r="BT104">
            <v>1.2948</v>
          </cell>
          <cell r="BU104">
            <v>1.61E-2</v>
          </cell>
          <cell r="BV104">
            <v>8.9999999999999993E-3</v>
          </cell>
          <cell r="BW104">
            <v>8.2699999999999996E-2</v>
          </cell>
          <cell r="BX104">
            <v>1.61E-2</v>
          </cell>
          <cell r="CC104">
            <v>28</v>
          </cell>
          <cell r="CD104">
            <v>0.23</v>
          </cell>
          <cell r="CE104">
            <v>567.32219999999995</v>
          </cell>
          <cell r="CF104">
            <v>0.44929999999999998</v>
          </cell>
          <cell r="CG104">
            <v>4.3E-3</v>
          </cell>
          <cell r="CH104">
            <v>5.3E-3</v>
          </cell>
          <cell r="CI104">
            <v>1.9099999999999999E-2</v>
          </cell>
          <cell r="CJ104">
            <v>4.3E-3</v>
          </cell>
        </row>
        <row r="105">
          <cell r="BQ105">
            <v>29</v>
          </cell>
          <cell r="BR105">
            <v>0.73740000000000006</v>
          </cell>
          <cell r="BS105">
            <v>945.60720000000003</v>
          </cell>
          <cell r="BT105">
            <v>1.2684</v>
          </cell>
          <cell r="BU105">
            <v>1.52E-2</v>
          </cell>
          <cell r="BV105">
            <v>8.8999999999999999E-3</v>
          </cell>
          <cell r="BW105">
            <v>7.7700000000000005E-2</v>
          </cell>
          <cell r="BX105">
            <v>1.52E-2</v>
          </cell>
          <cell r="CC105">
            <v>29</v>
          </cell>
          <cell r="CD105">
            <v>0.21959999999999999</v>
          </cell>
          <cell r="CE105">
            <v>561.24980000000005</v>
          </cell>
          <cell r="CF105">
            <v>0.43309999999999998</v>
          </cell>
          <cell r="CG105">
            <v>4.1000000000000003E-3</v>
          </cell>
          <cell r="CH105">
            <v>5.3E-3</v>
          </cell>
          <cell r="CI105">
            <v>1.8100000000000002E-2</v>
          </cell>
          <cell r="CJ105">
            <v>4.1000000000000003E-3</v>
          </cell>
        </row>
        <row r="106">
          <cell r="BQ106">
            <v>30</v>
          </cell>
          <cell r="BR106">
            <v>0.70899999999999996</v>
          </cell>
          <cell r="BS106">
            <v>936.13890000000004</v>
          </cell>
          <cell r="BT106">
            <v>1.2425999999999999</v>
          </cell>
          <cell r="BU106">
            <v>1.44E-2</v>
          </cell>
          <cell r="BV106">
            <v>8.8000000000000005E-3</v>
          </cell>
          <cell r="BW106">
            <v>7.3099999999999998E-2</v>
          </cell>
          <cell r="BX106">
            <v>1.44E-2</v>
          </cell>
          <cell r="CC106">
            <v>30</v>
          </cell>
          <cell r="CD106">
            <v>0.20960000000000001</v>
          </cell>
          <cell r="CE106">
            <v>555.24239999999998</v>
          </cell>
          <cell r="CF106">
            <v>0.41749999999999998</v>
          </cell>
          <cell r="CG106">
            <v>3.8999999999999998E-3</v>
          </cell>
          <cell r="CH106">
            <v>5.1999999999999998E-3</v>
          </cell>
          <cell r="CI106">
            <v>1.72E-2</v>
          </cell>
          <cell r="CJ106">
            <v>3.8999999999999998E-3</v>
          </cell>
        </row>
        <row r="107">
          <cell r="BQ107">
            <v>31</v>
          </cell>
          <cell r="BR107">
            <v>0.67789999999999995</v>
          </cell>
          <cell r="BS107">
            <v>941.27160000000003</v>
          </cell>
          <cell r="BT107">
            <v>1.2298</v>
          </cell>
          <cell r="BU107">
            <v>1.37E-2</v>
          </cell>
          <cell r="BV107">
            <v>8.8999999999999999E-3</v>
          </cell>
          <cell r="BW107">
            <v>6.8199999999999997E-2</v>
          </cell>
          <cell r="BX107">
            <v>1.37E-2</v>
          </cell>
          <cell r="CC107">
            <v>31</v>
          </cell>
          <cell r="CD107">
            <v>0.20180000000000001</v>
          </cell>
          <cell r="CE107">
            <v>559.83029999999997</v>
          </cell>
          <cell r="CF107">
            <v>0.41310000000000002</v>
          </cell>
          <cell r="CG107">
            <v>3.8E-3</v>
          </cell>
          <cell r="CH107">
            <v>5.1999999999999998E-3</v>
          </cell>
          <cell r="CI107">
            <v>1.6199999999999999E-2</v>
          </cell>
          <cell r="CJ107">
            <v>3.8E-3</v>
          </cell>
        </row>
        <row r="108">
          <cell r="BQ108">
            <v>32</v>
          </cell>
          <cell r="BR108">
            <v>0.6482</v>
          </cell>
          <cell r="BS108">
            <v>946.43230000000005</v>
          </cell>
          <cell r="BT108">
            <v>1.2171000000000001</v>
          </cell>
          <cell r="BU108">
            <v>1.3100000000000001E-2</v>
          </cell>
          <cell r="BV108">
            <v>8.8999999999999999E-3</v>
          </cell>
          <cell r="BW108">
            <v>6.3600000000000004E-2</v>
          </cell>
          <cell r="BX108">
            <v>1.3100000000000001E-2</v>
          </cell>
          <cell r="CC108">
            <v>32</v>
          </cell>
          <cell r="CD108">
            <v>0.19420000000000001</v>
          </cell>
          <cell r="CE108">
            <v>564.45609999999999</v>
          </cell>
          <cell r="CF108">
            <v>0.4088</v>
          </cell>
          <cell r="CG108">
            <v>3.8E-3</v>
          </cell>
          <cell r="CH108">
            <v>5.3E-3</v>
          </cell>
          <cell r="CI108">
            <v>1.5299999999999999E-2</v>
          </cell>
          <cell r="CJ108">
            <v>3.8E-3</v>
          </cell>
        </row>
        <row r="109">
          <cell r="BQ109">
            <v>33</v>
          </cell>
          <cell r="BR109">
            <v>0.61980000000000002</v>
          </cell>
          <cell r="BS109">
            <v>951.62139999999999</v>
          </cell>
          <cell r="BT109">
            <v>1.2045999999999999</v>
          </cell>
          <cell r="BU109">
            <v>1.26E-2</v>
          </cell>
          <cell r="BV109">
            <v>8.8999999999999999E-3</v>
          </cell>
          <cell r="BW109">
            <v>5.9299999999999999E-2</v>
          </cell>
          <cell r="BX109">
            <v>1.26E-2</v>
          </cell>
          <cell r="CC109">
            <v>33</v>
          </cell>
          <cell r="CD109">
            <v>0.187</v>
          </cell>
          <cell r="CE109">
            <v>569.12009999999998</v>
          </cell>
          <cell r="CF109">
            <v>0.40450000000000003</v>
          </cell>
          <cell r="CG109">
            <v>3.7000000000000002E-3</v>
          </cell>
          <cell r="CH109">
            <v>5.3E-3</v>
          </cell>
          <cell r="CI109">
            <v>1.44E-2</v>
          </cell>
          <cell r="CJ109">
            <v>3.7000000000000002E-3</v>
          </cell>
        </row>
        <row r="110">
          <cell r="BQ110">
            <v>34</v>
          </cell>
          <cell r="BR110">
            <v>0.59260000000000002</v>
          </cell>
          <cell r="BS110">
            <v>956.83889999999997</v>
          </cell>
          <cell r="BT110">
            <v>1.1920999999999999</v>
          </cell>
          <cell r="BU110">
            <v>1.2E-2</v>
          </cell>
          <cell r="BV110">
            <v>8.9999999999999993E-3</v>
          </cell>
          <cell r="BW110">
            <v>5.5300000000000002E-2</v>
          </cell>
          <cell r="BX110">
            <v>1.2E-2</v>
          </cell>
          <cell r="CC110">
            <v>34</v>
          </cell>
          <cell r="CD110">
            <v>0.18</v>
          </cell>
          <cell r="CE110">
            <v>573.82259999999997</v>
          </cell>
          <cell r="CF110">
            <v>0.40029999999999999</v>
          </cell>
          <cell r="CG110">
            <v>3.5999999999999999E-3</v>
          </cell>
          <cell r="CH110">
            <v>5.3E-3</v>
          </cell>
          <cell r="CI110">
            <v>1.3599999999999999E-2</v>
          </cell>
          <cell r="CJ110">
            <v>3.5999999999999999E-3</v>
          </cell>
        </row>
        <row r="111">
          <cell r="BQ111">
            <v>35</v>
          </cell>
          <cell r="BR111">
            <v>0.56659999999999999</v>
          </cell>
          <cell r="BS111">
            <v>962.08500000000004</v>
          </cell>
          <cell r="BT111">
            <v>1.1798</v>
          </cell>
          <cell r="BU111">
            <v>1.15E-2</v>
          </cell>
          <cell r="BV111">
            <v>8.9999999999999993E-3</v>
          </cell>
          <cell r="BW111">
            <v>5.16E-2</v>
          </cell>
          <cell r="BX111">
            <v>1.15E-2</v>
          </cell>
          <cell r="CC111">
            <v>35</v>
          </cell>
          <cell r="CD111">
            <v>0.17330000000000001</v>
          </cell>
          <cell r="CE111">
            <v>578.56399999999996</v>
          </cell>
          <cell r="CF111">
            <v>0.39610000000000001</v>
          </cell>
          <cell r="CG111">
            <v>3.5000000000000001E-3</v>
          </cell>
          <cell r="CH111">
            <v>5.4000000000000003E-3</v>
          </cell>
          <cell r="CI111">
            <v>1.2800000000000001E-2</v>
          </cell>
          <cell r="CJ111">
            <v>3.5000000000000001E-3</v>
          </cell>
        </row>
        <row r="112">
          <cell r="BQ112">
            <v>36</v>
          </cell>
          <cell r="BR112">
            <v>0.55049999999999999</v>
          </cell>
          <cell r="BS112">
            <v>967.41949999999997</v>
          </cell>
          <cell r="BT112">
            <v>1.1662999999999999</v>
          </cell>
          <cell r="BU112">
            <v>1.1299999999999999E-2</v>
          </cell>
          <cell r="BV112">
            <v>9.1000000000000004E-3</v>
          </cell>
          <cell r="BW112">
            <v>4.8800000000000003E-2</v>
          </cell>
          <cell r="BX112">
            <v>1.1299999999999999E-2</v>
          </cell>
          <cell r="CC112">
            <v>36</v>
          </cell>
          <cell r="CD112">
            <v>0.16880000000000001</v>
          </cell>
          <cell r="CE112">
            <v>584.06709999999998</v>
          </cell>
          <cell r="CF112">
            <v>0.38829999999999998</v>
          </cell>
          <cell r="CG112">
            <v>3.5999999999999999E-3</v>
          </cell>
          <cell r="CH112">
            <v>5.4000000000000003E-3</v>
          </cell>
          <cell r="CI112">
            <v>1.2200000000000001E-2</v>
          </cell>
          <cell r="CJ112">
            <v>3.5999999999999999E-3</v>
          </cell>
        </row>
        <row r="113">
          <cell r="BQ113">
            <v>37</v>
          </cell>
          <cell r="BR113">
            <v>0.53490000000000004</v>
          </cell>
          <cell r="BS113">
            <v>972.78359999999998</v>
          </cell>
          <cell r="BT113">
            <v>1.1529</v>
          </cell>
          <cell r="BU113">
            <v>1.0999999999999999E-2</v>
          </cell>
          <cell r="BV113">
            <v>9.1000000000000004E-3</v>
          </cell>
          <cell r="BW113">
            <v>4.6199999999999998E-2</v>
          </cell>
          <cell r="BX113">
            <v>1.0999999999999999E-2</v>
          </cell>
          <cell r="CC113">
            <v>37</v>
          </cell>
          <cell r="CD113">
            <v>0.16450000000000001</v>
          </cell>
          <cell r="CE113">
            <v>589.62249999999995</v>
          </cell>
          <cell r="CF113">
            <v>0.38059999999999999</v>
          </cell>
          <cell r="CG113">
            <v>3.7000000000000002E-3</v>
          </cell>
          <cell r="CH113">
            <v>5.4999999999999997E-3</v>
          </cell>
          <cell r="CI113">
            <v>1.1599999999999999E-2</v>
          </cell>
          <cell r="CJ113">
            <v>3.7000000000000002E-3</v>
          </cell>
        </row>
        <row r="114">
          <cell r="BQ114">
            <v>38</v>
          </cell>
          <cell r="BR114">
            <v>0.51970000000000005</v>
          </cell>
          <cell r="BS114">
            <v>978.17750000000001</v>
          </cell>
          <cell r="BT114">
            <v>1.1395999999999999</v>
          </cell>
          <cell r="BU114">
            <v>1.0800000000000001E-2</v>
          </cell>
          <cell r="BV114">
            <v>9.1000000000000004E-3</v>
          </cell>
          <cell r="BW114">
            <v>4.3700000000000003E-2</v>
          </cell>
          <cell r="BX114">
            <v>1.0800000000000001E-2</v>
          </cell>
          <cell r="CC114">
            <v>38</v>
          </cell>
          <cell r="CD114">
            <v>0.1603</v>
          </cell>
          <cell r="CE114">
            <v>595.23080000000004</v>
          </cell>
          <cell r="CF114">
            <v>0.37309999999999999</v>
          </cell>
          <cell r="CG114">
            <v>3.8E-3</v>
          </cell>
          <cell r="CH114">
            <v>5.4999999999999997E-3</v>
          </cell>
          <cell r="CI114">
            <v>1.11E-2</v>
          </cell>
          <cell r="CJ114">
            <v>3.8E-3</v>
          </cell>
        </row>
        <row r="115">
          <cell r="BQ115">
            <v>39</v>
          </cell>
          <cell r="BR115">
            <v>0.505</v>
          </cell>
          <cell r="BS115">
            <v>983.60130000000004</v>
          </cell>
          <cell r="BT115">
            <v>1.1266</v>
          </cell>
          <cell r="BU115">
            <v>1.06E-2</v>
          </cell>
          <cell r="BV115">
            <v>9.1999999999999998E-3</v>
          </cell>
          <cell r="BW115">
            <v>4.1300000000000003E-2</v>
          </cell>
          <cell r="BX115">
            <v>1.06E-2</v>
          </cell>
          <cell r="CC115">
            <v>39</v>
          </cell>
          <cell r="CD115">
            <v>0.15609999999999999</v>
          </cell>
          <cell r="CE115">
            <v>600.89239999999995</v>
          </cell>
          <cell r="CF115">
            <v>0.36580000000000001</v>
          </cell>
          <cell r="CG115">
            <v>3.8E-3</v>
          </cell>
          <cell r="CH115">
            <v>5.5999999999999999E-3</v>
          </cell>
          <cell r="CI115">
            <v>1.0500000000000001E-2</v>
          </cell>
          <cell r="CJ115">
            <v>3.8E-3</v>
          </cell>
        </row>
        <row r="116">
          <cell r="BQ116">
            <v>40</v>
          </cell>
          <cell r="BR116">
            <v>0.49059999999999998</v>
          </cell>
          <cell r="BS116">
            <v>989.05510000000004</v>
          </cell>
          <cell r="BT116">
            <v>1.1135999999999999</v>
          </cell>
          <cell r="BU116">
            <v>1.04E-2</v>
          </cell>
          <cell r="BV116">
            <v>9.1999999999999998E-3</v>
          </cell>
          <cell r="BW116">
            <v>3.9100000000000003E-2</v>
          </cell>
          <cell r="BX116">
            <v>1.04E-2</v>
          </cell>
          <cell r="CC116">
            <v>40</v>
          </cell>
          <cell r="CD116">
            <v>0.15210000000000001</v>
          </cell>
          <cell r="CE116">
            <v>606.60789999999997</v>
          </cell>
          <cell r="CF116">
            <v>0.35859999999999997</v>
          </cell>
          <cell r="CG116">
            <v>3.8999999999999998E-3</v>
          </cell>
          <cell r="CH116">
            <v>5.5999999999999999E-3</v>
          </cell>
          <cell r="CI116">
            <v>0.01</v>
          </cell>
          <cell r="CJ116">
            <v>3.8999999999999998E-3</v>
          </cell>
        </row>
        <row r="117">
          <cell r="BQ117">
            <v>41</v>
          </cell>
          <cell r="BR117">
            <v>0.48680000000000001</v>
          </cell>
          <cell r="BS117">
            <v>984.5077</v>
          </cell>
          <cell r="BT117">
            <v>1.0993999999999999</v>
          </cell>
          <cell r="BU117">
            <v>1.0500000000000001E-2</v>
          </cell>
          <cell r="BV117">
            <v>9.1999999999999998E-3</v>
          </cell>
          <cell r="BW117">
            <v>3.8199999999999998E-2</v>
          </cell>
          <cell r="BX117">
            <v>1.0500000000000001E-2</v>
          </cell>
          <cell r="CC117">
            <v>41</v>
          </cell>
          <cell r="CD117">
            <v>0.1479</v>
          </cell>
          <cell r="CE117">
            <v>611.86289999999997</v>
          </cell>
          <cell r="CF117">
            <v>0.35299999999999998</v>
          </cell>
          <cell r="CG117">
            <v>4.1999999999999997E-3</v>
          </cell>
          <cell r="CH117">
            <v>5.7000000000000002E-3</v>
          </cell>
          <cell r="CI117">
            <v>9.7999999999999997E-3</v>
          </cell>
          <cell r="CJ117">
            <v>4.1999999999999997E-3</v>
          </cell>
        </row>
        <row r="118">
          <cell r="BQ118">
            <v>42</v>
          </cell>
          <cell r="BR118">
            <v>0.4829</v>
          </cell>
          <cell r="BS118">
            <v>979.98119999999994</v>
          </cell>
          <cell r="BT118">
            <v>1.0853999999999999</v>
          </cell>
          <cell r="BU118">
            <v>1.06E-2</v>
          </cell>
          <cell r="BV118">
            <v>9.1000000000000004E-3</v>
          </cell>
          <cell r="BW118">
            <v>3.7400000000000003E-2</v>
          </cell>
          <cell r="BX118">
            <v>1.06E-2</v>
          </cell>
          <cell r="CC118">
            <v>42</v>
          </cell>
          <cell r="CD118">
            <v>0.14380000000000001</v>
          </cell>
          <cell r="CE118">
            <v>617.16330000000005</v>
          </cell>
          <cell r="CF118">
            <v>0.34739999999999999</v>
          </cell>
          <cell r="CG118">
            <v>4.4000000000000003E-3</v>
          </cell>
          <cell r="CH118">
            <v>5.7000000000000002E-3</v>
          </cell>
          <cell r="CI118">
            <v>9.5999999999999992E-3</v>
          </cell>
          <cell r="CJ118">
            <v>4.4000000000000003E-3</v>
          </cell>
        </row>
        <row r="119">
          <cell r="BQ119">
            <v>43</v>
          </cell>
          <cell r="BR119">
            <v>0.47910000000000003</v>
          </cell>
          <cell r="BS119">
            <v>975.47540000000004</v>
          </cell>
          <cell r="BT119">
            <v>1.0714999999999999</v>
          </cell>
          <cell r="BU119">
            <v>1.06E-2</v>
          </cell>
          <cell r="BV119">
            <v>9.1000000000000004E-3</v>
          </cell>
          <cell r="BW119">
            <v>3.6600000000000001E-2</v>
          </cell>
          <cell r="BX119">
            <v>1.06E-2</v>
          </cell>
          <cell r="CC119">
            <v>43</v>
          </cell>
          <cell r="CD119">
            <v>0.1399</v>
          </cell>
          <cell r="CE119">
            <v>622.50959999999998</v>
          </cell>
          <cell r="CF119">
            <v>0.34200000000000003</v>
          </cell>
          <cell r="CG119">
            <v>4.7000000000000002E-3</v>
          </cell>
          <cell r="CH119">
            <v>5.7999999999999996E-3</v>
          </cell>
          <cell r="CI119">
            <v>9.4000000000000004E-3</v>
          </cell>
          <cell r="CJ119">
            <v>4.7000000000000002E-3</v>
          </cell>
        </row>
        <row r="120">
          <cell r="BQ120">
            <v>44</v>
          </cell>
          <cell r="BR120">
            <v>0.4753</v>
          </cell>
          <cell r="BS120">
            <v>970.99040000000002</v>
          </cell>
          <cell r="BT120">
            <v>1.0579000000000001</v>
          </cell>
          <cell r="BU120">
            <v>1.0699999999999999E-2</v>
          </cell>
          <cell r="BV120">
            <v>9.1000000000000004E-3</v>
          </cell>
          <cell r="BW120">
            <v>3.5900000000000001E-2</v>
          </cell>
          <cell r="BX120">
            <v>1.0699999999999999E-2</v>
          </cell>
          <cell r="CC120">
            <v>44</v>
          </cell>
          <cell r="CD120">
            <v>0.13600000000000001</v>
          </cell>
          <cell r="CE120">
            <v>627.90229999999997</v>
          </cell>
          <cell r="CF120">
            <v>0.33660000000000001</v>
          </cell>
          <cell r="CG120">
            <v>5.0000000000000001E-3</v>
          </cell>
          <cell r="CH120">
            <v>5.7999999999999996E-3</v>
          </cell>
          <cell r="CI120">
            <v>9.2999999999999992E-3</v>
          </cell>
          <cell r="CJ120">
            <v>5.0000000000000001E-3</v>
          </cell>
        </row>
        <row r="121">
          <cell r="BQ121">
            <v>45</v>
          </cell>
          <cell r="BR121">
            <v>0.47160000000000002</v>
          </cell>
          <cell r="BS121">
            <v>966.52610000000004</v>
          </cell>
          <cell r="BT121">
            <v>1.0444</v>
          </cell>
          <cell r="BU121">
            <v>1.0800000000000001E-2</v>
          </cell>
          <cell r="BV121">
            <v>8.9999999999999993E-3</v>
          </cell>
          <cell r="BW121">
            <v>3.5099999999999999E-2</v>
          </cell>
          <cell r="BX121">
            <v>1.0800000000000001E-2</v>
          </cell>
          <cell r="CC121">
            <v>45</v>
          </cell>
          <cell r="CD121">
            <v>0.1323</v>
          </cell>
          <cell r="CE121">
            <v>633.34169999999995</v>
          </cell>
          <cell r="CF121">
            <v>0.33139999999999997</v>
          </cell>
          <cell r="CG121">
            <v>5.3E-3</v>
          </cell>
          <cell r="CH121">
            <v>5.8999999999999999E-3</v>
          </cell>
          <cell r="CI121">
            <v>9.1000000000000004E-3</v>
          </cell>
          <cell r="CJ121">
            <v>5.3E-3</v>
          </cell>
        </row>
        <row r="122">
          <cell r="BQ122">
            <v>46</v>
          </cell>
          <cell r="BR122">
            <v>0.47620000000000001</v>
          </cell>
          <cell r="BS122">
            <v>930.22239999999999</v>
          </cell>
          <cell r="BT122">
            <v>1.0417000000000001</v>
          </cell>
          <cell r="BU122">
            <v>1.0999999999999999E-2</v>
          </cell>
          <cell r="BV122">
            <v>8.6999999999999994E-3</v>
          </cell>
          <cell r="BW122">
            <v>3.6799999999999999E-2</v>
          </cell>
          <cell r="BX122">
            <v>1.0999999999999999E-2</v>
          </cell>
          <cell r="CC122">
            <v>46</v>
          </cell>
          <cell r="CD122">
            <v>0.13</v>
          </cell>
          <cell r="CE122">
            <v>609.35320000000002</v>
          </cell>
          <cell r="CF122">
            <v>0.31030000000000002</v>
          </cell>
          <cell r="CG122">
            <v>5.4000000000000003E-3</v>
          </cell>
          <cell r="CH122">
            <v>5.7000000000000002E-3</v>
          </cell>
          <cell r="CI122">
            <v>9.2999999999999992E-3</v>
          </cell>
          <cell r="CJ122">
            <v>5.4000000000000003E-3</v>
          </cell>
        </row>
        <row r="123">
          <cell r="BQ123">
            <v>47</v>
          </cell>
          <cell r="BR123">
            <v>0.48089999999999999</v>
          </cell>
          <cell r="BS123">
            <v>895.28229999999996</v>
          </cell>
          <cell r="BT123">
            <v>1.0390999999999999</v>
          </cell>
          <cell r="BU123">
            <v>1.12E-2</v>
          </cell>
          <cell r="BV123">
            <v>8.3999999999999995E-3</v>
          </cell>
          <cell r="BW123">
            <v>3.8600000000000002E-2</v>
          </cell>
          <cell r="BX123">
            <v>1.12E-2</v>
          </cell>
          <cell r="CC123">
            <v>47</v>
          </cell>
          <cell r="CD123">
            <v>0.1278</v>
          </cell>
          <cell r="CE123">
            <v>586.27319999999997</v>
          </cell>
          <cell r="CF123">
            <v>0.29060000000000002</v>
          </cell>
          <cell r="CG123">
            <v>5.4999999999999997E-3</v>
          </cell>
          <cell r="CH123">
            <v>5.4999999999999997E-3</v>
          </cell>
          <cell r="CI123">
            <v>9.5999999999999992E-3</v>
          </cell>
          <cell r="CJ123">
            <v>5.4999999999999997E-3</v>
          </cell>
        </row>
        <row r="124">
          <cell r="BQ124">
            <v>48</v>
          </cell>
          <cell r="BR124">
            <v>0.48570000000000002</v>
          </cell>
          <cell r="BS124">
            <v>861.65459999999996</v>
          </cell>
          <cell r="BT124">
            <v>1.0364</v>
          </cell>
          <cell r="BU124">
            <v>1.15E-2</v>
          </cell>
          <cell r="BV124">
            <v>8.0999999999999996E-3</v>
          </cell>
          <cell r="BW124">
            <v>4.0500000000000001E-2</v>
          </cell>
          <cell r="BX124">
            <v>1.15E-2</v>
          </cell>
          <cell r="CC124">
            <v>48</v>
          </cell>
          <cell r="CD124">
            <v>0.12559999999999999</v>
          </cell>
          <cell r="CE124">
            <v>564.06740000000002</v>
          </cell>
          <cell r="CF124">
            <v>0.2722</v>
          </cell>
          <cell r="CG124">
            <v>5.5999999999999999E-3</v>
          </cell>
          <cell r="CH124">
            <v>5.3E-3</v>
          </cell>
          <cell r="CI124">
            <v>9.9000000000000008E-3</v>
          </cell>
          <cell r="CJ124">
            <v>5.5999999999999999E-3</v>
          </cell>
        </row>
        <row r="125">
          <cell r="BQ125">
            <v>49</v>
          </cell>
          <cell r="BR125">
            <v>0.49049999999999999</v>
          </cell>
          <cell r="BS125">
            <v>829.28989999999999</v>
          </cell>
          <cell r="BT125">
            <v>1.0338000000000001</v>
          </cell>
          <cell r="BU125">
            <v>1.17E-2</v>
          </cell>
          <cell r="BV125">
            <v>7.7999999999999996E-3</v>
          </cell>
          <cell r="BW125">
            <v>4.2500000000000003E-2</v>
          </cell>
          <cell r="BX125">
            <v>1.17E-2</v>
          </cell>
          <cell r="CC125">
            <v>49</v>
          </cell>
          <cell r="CD125">
            <v>0.1234</v>
          </cell>
          <cell r="CE125">
            <v>542.70270000000005</v>
          </cell>
          <cell r="CF125">
            <v>0.25490000000000002</v>
          </cell>
          <cell r="CG125">
            <v>5.7000000000000002E-3</v>
          </cell>
          <cell r="CH125">
            <v>5.1000000000000004E-3</v>
          </cell>
          <cell r="CI125">
            <v>1.0200000000000001E-2</v>
          </cell>
          <cell r="CJ125">
            <v>5.7000000000000002E-3</v>
          </cell>
        </row>
        <row r="126">
          <cell r="BQ126">
            <v>50</v>
          </cell>
          <cell r="BR126">
            <v>0.49530000000000002</v>
          </cell>
          <cell r="BS126">
            <v>798.14099999999996</v>
          </cell>
          <cell r="BT126">
            <v>1.0310999999999999</v>
          </cell>
          <cell r="BU126">
            <v>1.2E-2</v>
          </cell>
          <cell r="BV126">
            <v>7.4999999999999997E-3</v>
          </cell>
          <cell r="BW126">
            <v>4.4499999999999998E-2</v>
          </cell>
          <cell r="BX126">
            <v>1.2E-2</v>
          </cell>
          <cell r="CC126">
            <v>50</v>
          </cell>
          <cell r="CD126">
            <v>0.12130000000000001</v>
          </cell>
          <cell r="CE126">
            <v>522.1472</v>
          </cell>
          <cell r="CF126">
            <v>0.2387</v>
          </cell>
          <cell r="CG126">
            <v>5.7999999999999996E-3</v>
          </cell>
          <cell r="CH126">
            <v>4.8999999999999998E-3</v>
          </cell>
          <cell r="CI126">
            <v>1.0500000000000001E-2</v>
          </cell>
          <cell r="CJ126">
            <v>5.7999999999999996E-3</v>
          </cell>
        </row>
        <row r="127">
          <cell r="BQ127">
            <v>51</v>
          </cell>
          <cell r="BR127">
            <v>0.48010000000000003</v>
          </cell>
          <cell r="BS127">
            <v>830.70860000000005</v>
          </cell>
          <cell r="BT127">
            <v>1.0417000000000001</v>
          </cell>
          <cell r="BU127">
            <v>1.2500000000000001E-2</v>
          </cell>
          <cell r="BV127">
            <v>7.7999999999999996E-3</v>
          </cell>
          <cell r="BW127">
            <v>4.2500000000000003E-2</v>
          </cell>
          <cell r="BX127">
            <v>1.2500000000000001E-2</v>
          </cell>
          <cell r="CC127">
            <v>51</v>
          </cell>
          <cell r="CD127">
            <v>0.11840000000000001</v>
          </cell>
          <cell r="CE127">
            <v>546.12260000000003</v>
          </cell>
          <cell r="CF127">
            <v>0.25480000000000003</v>
          </cell>
          <cell r="CG127">
            <v>6.4000000000000003E-3</v>
          </cell>
          <cell r="CH127">
            <v>5.1000000000000004E-3</v>
          </cell>
          <cell r="CI127">
            <v>1.01E-2</v>
          </cell>
          <cell r="CJ127">
            <v>6.4000000000000003E-3</v>
          </cell>
        </row>
        <row r="128">
          <cell r="BQ128">
            <v>52</v>
          </cell>
          <cell r="BR128">
            <v>0.46529999999999999</v>
          </cell>
          <cell r="BS128">
            <v>864.60519999999997</v>
          </cell>
          <cell r="BT128">
            <v>1.0523</v>
          </cell>
          <cell r="BU128">
            <v>1.2999999999999999E-2</v>
          </cell>
          <cell r="BV128">
            <v>8.0999999999999996E-3</v>
          </cell>
          <cell r="BW128">
            <v>4.0500000000000001E-2</v>
          </cell>
          <cell r="BX128">
            <v>1.2999999999999999E-2</v>
          </cell>
          <cell r="CC128">
            <v>52</v>
          </cell>
          <cell r="CD128">
            <v>0.11559999999999999</v>
          </cell>
          <cell r="CE128">
            <v>571.19889999999998</v>
          </cell>
          <cell r="CF128">
            <v>0.27189999999999998</v>
          </cell>
          <cell r="CG128">
            <v>7.0000000000000001E-3</v>
          </cell>
          <cell r="CH128">
            <v>5.3E-3</v>
          </cell>
          <cell r="CI128">
            <v>9.7999999999999997E-3</v>
          </cell>
          <cell r="CJ128">
            <v>7.0000000000000001E-3</v>
          </cell>
        </row>
        <row r="129">
          <cell r="BQ129">
            <v>53</v>
          </cell>
          <cell r="BR129">
            <v>0.45100000000000001</v>
          </cell>
          <cell r="BS129">
            <v>899.88480000000004</v>
          </cell>
          <cell r="BT129">
            <v>1.0630999999999999</v>
          </cell>
          <cell r="BU129">
            <v>1.3599999999999999E-2</v>
          </cell>
          <cell r="BV129">
            <v>8.5000000000000006E-3</v>
          </cell>
          <cell r="BW129">
            <v>3.8600000000000002E-2</v>
          </cell>
          <cell r="BX129">
            <v>1.3599999999999999E-2</v>
          </cell>
          <cell r="CC129">
            <v>53</v>
          </cell>
          <cell r="CD129">
            <v>0.1129</v>
          </cell>
          <cell r="CE129">
            <v>597.42660000000001</v>
          </cell>
          <cell r="CF129">
            <v>0.29020000000000001</v>
          </cell>
          <cell r="CG129">
            <v>7.6E-3</v>
          </cell>
          <cell r="CH129">
            <v>5.5999999999999999E-3</v>
          </cell>
          <cell r="CI129">
            <v>9.4000000000000004E-3</v>
          </cell>
          <cell r="CJ129">
            <v>7.6E-3</v>
          </cell>
        </row>
        <row r="130">
          <cell r="BQ130">
            <v>54</v>
          </cell>
          <cell r="BR130">
            <v>0.43709999999999999</v>
          </cell>
          <cell r="BS130">
            <v>936.60400000000004</v>
          </cell>
          <cell r="BT130">
            <v>1.0739000000000001</v>
          </cell>
          <cell r="BU130">
            <v>1.4200000000000001E-2</v>
          </cell>
          <cell r="BV130">
            <v>8.8000000000000005E-3</v>
          </cell>
          <cell r="BW130">
            <v>3.6900000000000002E-2</v>
          </cell>
          <cell r="BX130">
            <v>1.4200000000000001E-2</v>
          </cell>
          <cell r="CC130">
            <v>54</v>
          </cell>
          <cell r="CD130">
            <v>0.11020000000000001</v>
          </cell>
          <cell r="CE130">
            <v>624.85850000000005</v>
          </cell>
          <cell r="CF130">
            <v>0.30969999999999998</v>
          </cell>
          <cell r="CG130">
            <v>8.3000000000000001E-3</v>
          </cell>
          <cell r="CH130">
            <v>5.7999999999999996E-3</v>
          </cell>
          <cell r="CI130">
            <v>9.1000000000000004E-3</v>
          </cell>
          <cell r="CJ130">
            <v>8.3000000000000001E-3</v>
          </cell>
        </row>
        <row r="131">
          <cell r="BQ131">
            <v>55</v>
          </cell>
          <cell r="BR131">
            <v>0.42359999999999998</v>
          </cell>
          <cell r="BS131">
            <v>974.82159999999999</v>
          </cell>
          <cell r="BT131">
            <v>1.0849</v>
          </cell>
          <cell r="BU131">
            <v>1.4800000000000001E-2</v>
          </cell>
          <cell r="BV131">
            <v>9.1000000000000004E-3</v>
          </cell>
          <cell r="BW131">
            <v>3.5200000000000002E-2</v>
          </cell>
          <cell r="BX131">
            <v>1.4800000000000001E-2</v>
          </cell>
          <cell r="CC131">
            <v>55</v>
          </cell>
          <cell r="CD131">
            <v>0.1076</v>
          </cell>
          <cell r="CE131">
            <v>653.55010000000004</v>
          </cell>
          <cell r="CF131">
            <v>0.3306</v>
          </cell>
          <cell r="CG131">
            <v>9.1000000000000004E-3</v>
          </cell>
          <cell r="CH131">
            <v>6.1000000000000004E-3</v>
          </cell>
          <cell r="CI131">
            <v>8.8000000000000005E-3</v>
          </cell>
          <cell r="CJ131">
            <v>9.1000000000000004E-3</v>
          </cell>
        </row>
        <row r="132">
          <cell r="BQ132">
            <v>56</v>
          </cell>
          <cell r="BR132">
            <v>0.41</v>
          </cell>
          <cell r="BS132">
            <v>1022.8646</v>
          </cell>
          <cell r="BT132">
            <v>1.0831999999999999</v>
          </cell>
          <cell r="BU132">
            <v>1.5699999999999999E-2</v>
          </cell>
          <cell r="BV132">
            <v>9.5999999999999992E-3</v>
          </cell>
          <cell r="BW132">
            <v>3.15E-2</v>
          </cell>
          <cell r="BX132">
            <v>1.5699999999999999E-2</v>
          </cell>
          <cell r="CC132">
            <v>56</v>
          </cell>
          <cell r="CD132">
            <v>0.1045</v>
          </cell>
          <cell r="CE132">
            <v>686.27470000000005</v>
          </cell>
          <cell r="CF132">
            <v>0.36480000000000001</v>
          </cell>
          <cell r="CG132">
            <v>0.01</v>
          </cell>
          <cell r="CH132">
            <v>6.4000000000000003E-3</v>
          </cell>
          <cell r="CI132">
            <v>8.5000000000000006E-3</v>
          </cell>
          <cell r="CJ132">
            <v>0.01</v>
          </cell>
        </row>
        <row r="133">
          <cell r="BQ133">
            <v>57</v>
          </cell>
          <cell r="BR133">
            <v>0.39689999999999998</v>
          </cell>
          <cell r="BS133">
            <v>1073.2754</v>
          </cell>
          <cell r="BT133">
            <v>1.0814999999999999</v>
          </cell>
          <cell r="BU133">
            <v>1.6500000000000001E-2</v>
          </cell>
          <cell r="BV133">
            <v>1.01E-2</v>
          </cell>
          <cell r="BW133">
            <v>2.8199999999999999E-2</v>
          </cell>
          <cell r="BX133">
            <v>1.6500000000000001E-2</v>
          </cell>
          <cell r="CC133">
            <v>57</v>
          </cell>
          <cell r="CD133">
            <v>0.10150000000000001</v>
          </cell>
          <cell r="CE133">
            <v>720.63789999999995</v>
          </cell>
          <cell r="CF133">
            <v>0.40250000000000002</v>
          </cell>
          <cell r="CG133">
            <v>1.11E-2</v>
          </cell>
          <cell r="CH133">
            <v>6.7000000000000002E-3</v>
          </cell>
          <cell r="CI133">
            <v>8.3000000000000001E-3</v>
          </cell>
          <cell r="CJ133">
            <v>1.11E-2</v>
          </cell>
        </row>
        <row r="134">
          <cell r="BQ134">
            <v>58</v>
          </cell>
          <cell r="BR134">
            <v>0.3841</v>
          </cell>
          <cell r="BS134">
            <v>1126.1706999999999</v>
          </cell>
          <cell r="BT134">
            <v>1.0797000000000001</v>
          </cell>
          <cell r="BU134">
            <v>1.7500000000000002E-2</v>
          </cell>
          <cell r="BV134">
            <v>1.0500000000000001E-2</v>
          </cell>
          <cell r="BW134">
            <v>2.52E-2</v>
          </cell>
          <cell r="BX134">
            <v>1.7500000000000002E-2</v>
          </cell>
          <cell r="CC134">
            <v>58</v>
          </cell>
          <cell r="CD134">
            <v>9.8599999999999993E-2</v>
          </cell>
          <cell r="CE134">
            <v>756.72170000000006</v>
          </cell>
          <cell r="CF134">
            <v>0.44419999999999998</v>
          </cell>
          <cell r="CG134">
            <v>1.23E-2</v>
          </cell>
          <cell r="CH134">
            <v>7.1000000000000004E-3</v>
          </cell>
          <cell r="CI134">
            <v>8.0000000000000002E-3</v>
          </cell>
          <cell r="CJ134">
            <v>1.23E-2</v>
          </cell>
        </row>
        <row r="135">
          <cell r="BQ135">
            <v>59</v>
          </cell>
          <cell r="BR135">
            <v>0.37180000000000002</v>
          </cell>
          <cell r="BS135">
            <v>1181.6728000000001</v>
          </cell>
          <cell r="BT135">
            <v>1.0780000000000001</v>
          </cell>
          <cell r="BU135">
            <v>1.84E-2</v>
          </cell>
          <cell r="BV135">
            <v>1.11E-2</v>
          </cell>
          <cell r="BW135">
            <v>2.2599999999999999E-2</v>
          </cell>
          <cell r="BX135">
            <v>1.84E-2</v>
          </cell>
          <cell r="CC135">
            <v>59</v>
          </cell>
          <cell r="CD135">
            <v>9.5699999999999993E-2</v>
          </cell>
          <cell r="CE135">
            <v>794.6123</v>
          </cell>
          <cell r="CF135">
            <v>0.49020000000000002</v>
          </cell>
          <cell r="CG135">
            <v>1.37E-2</v>
          </cell>
          <cell r="CH135">
            <v>7.4000000000000003E-3</v>
          </cell>
          <cell r="CI135">
            <v>7.7999999999999996E-3</v>
          </cell>
          <cell r="CJ135">
            <v>1.37E-2</v>
          </cell>
        </row>
        <row r="136">
          <cell r="BQ136">
            <v>60</v>
          </cell>
          <cell r="BR136">
            <v>0.3599</v>
          </cell>
          <cell r="BS136">
            <v>1239.9103</v>
          </cell>
          <cell r="BT136">
            <v>1.0763</v>
          </cell>
          <cell r="BU136">
            <v>1.95E-2</v>
          </cell>
          <cell r="BV136">
            <v>1.1599999999999999E-2</v>
          </cell>
          <cell r="BW136">
            <v>2.0199999999999999E-2</v>
          </cell>
          <cell r="BX136">
            <v>1.95E-2</v>
          </cell>
          <cell r="CC136">
            <v>60</v>
          </cell>
          <cell r="CD136">
            <v>9.2999999999999999E-2</v>
          </cell>
          <cell r="CE136">
            <v>834.40020000000004</v>
          </cell>
          <cell r="CF136">
            <v>0.54090000000000005</v>
          </cell>
          <cell r="CG136">
            <v>1.5100000000000001E-2</v>
          </cell>
          <cell r="CH136">
            <v>7.7999999999999996E-3</v>
          </cell>
          <cell r="CI136">
            <v>7.6E-3</v>
          </cell>
          <cell r="CJ136">
            <v>1.5100000000000001E-2</v>
          </cell>
        </row>
        <row r="137">
          <cell r="BQ137">
            <v>61</v>
          </cell>
          <cell r="BR137">
            <v>0.35010000000000002</v>
          </cell>
          <cell r="BS137">
            <v>1264.0963999999999</v>
          </cell>
          <cell r="BT137">
            <v>1.1266</v>
          </cell>
          <cell r="BU137">
            <v>2.06E-2</v>
          </cell>
          <cell r="BV137">
            <v>1.18E-2</v>
          </cell>
          <cell r="BW137">
            <v>2.0199999999999999E-2</v>
          </cell>
          <cell r="BX137">
            <v>2.06E-2</v>
          </cell>
          <cell r="CC137">
            <v>61</v>
          </cell>
          <cell r="CD137">
            <v>9.1800000000000007E-2</v>
          </cell>
          <cell r="CE137">
            <v>852.48789999999997</v>
          </cell>
          <cell r="CF137">
            <v>0.58609999999999995</v>
          </cell>
          <cell r="CG137">
            <v>1.6199999999999999E-2</v>
          </cell>
          <cell r="CH137">
            <v>8.0000000000000002E-3</v>
          </cell>
          <cell r="CI137">
            <v>7.7999999999999996E-3</v>
          </cell>
          <cell r="CJ137">
            <v>1.6199999999999999E-2</v>
          </cell>
        </row>
        <row r="138">
          <cell r="BQ138">
            <v>62</v>
          </cell>
          <cell r="BR138">
            <v>0.34060000000000001</v>
          </cell>
          <cell r="BS138">
            <v>1288.7544</v>
          </cell>
          <cell r="BT138">
            <v>1.1792</v>
          </cell>
          <cell r="BU138">
            <v>2.1899999999999999E-2</v>
          </cell>
          <cell r="BV138">
            <v>1.21E-2</v>
          </cell>
          <cell r="BW138">
            <v>2.01E-2</v>
          </cell>
          <cell r="BX138">
            <v>2.1899999999999999E-2</v>
          </cell>
          <cell r="CC138">
            <v>62</v>
          </cell>
          <cell r="CD138">
            <v>9.0700000000000003E-2</v>
          </cell>
          <cell r="CE138">
            <v>870.96770000000004</v>
          </cell>
          <cell r="CF138">
            <v>0.6351</v>
          </cell>
          <cell r="CG138">
            <v>1.7299999999999999E-2</v>
          </cell>
          <cell r="CH138">
            <v>8.2000000000000007E-3</v>
          </cell>
          <cell r="CI138">
            <v>8.0999999999999996E-3</v>
          </cell>
          <cell r="CJ138">
            <v>1.7299999999999999E-2</v>
          </cell>
        </row>
        <row r="139">
          <cell r="BQ139">
            <v>63</v>
          </cell>
          <cell r="BR139">
            <v>0.33129999999999998</v>
          </cell>
          <cell r="BS139">
            <v>1313.8933</v>
          </cell>
          <cell r="BT139">
            <v>1.2343</v>
          </cell>
          <cell r="BU139">
            <v>2.3199999999999998E-2</v>
          </cell>
          <cell r="BV139">
            <v>1.23E-2</v>
          </cell>
          <cell r="BW139">
            <v>2.01E-2</v>
          </cell>
          <cell r="BX139">
            <v>2.3199999999999998E-2</v>
          </cell>
          <cell r="CC139">
            <v>63</v>
          </cell>
          <cell r="CD139">
            <v>8.9599999999999999E-2</v>
          </cell>
          <cell r="CE139">
            <v>889.84810000000004</v>
          </cell>
          <cell r="CF139">
            <v>0.68820000000000003</v>
          </cell>
          <cell r="CG139">
            <v>1.8499999999999999E-2</v>
          </cell>
          <cell r="CH139">
            <v>8.3000000000000001E-3</v>
          </cell>
          <cell r="CI139">
            <v>8.3999999999999995E-3</v>
          </cell>
          <cell r="CJ139">
            <v>1.8499999999999999E-2</v>
          </cell>
        </row>
        <row r="140">
          <cell r="BQ140">
            <v>64</v>
          </cell>
          <cell r="BR140">
            <v>0.32229999999999998</v>
          </cell>
          <cell r="BS140">
            <v>1339.5226</v>
          </cell>
          <cell r="BT140">
            <v>1.292</v>
          </cell>
          <cell r="BU140">
            <v>2.47E-2</v>
          </cell>
          <cell r="BV140">
            <v>1.26E-2</v>
          </cell>
          <cell r="BW140">
            <v>2.01E-2</v>
          </cell>
          <cell r="BX140">
            <v>2.47E-2</v>
          </cell>
          <cell r="CC140">
            <v>64</v>
          </cell>
          <cell r="CD140">
            <v>8.8499999999999995E-2</v>
          </cell>
          <cell r="CE140">
            <v>909.1377</v>
          </cell>
          <cell r="CF140">
            <v>0.74570000000000003</v>
          </cell>
          <cell r="CG140">
            <v>1.9699999999999999E-2</v>
          </cell>
          <cell r="CH140">
            <v>8.5000000000000006E-3</v>
          </cell>
          <cell r="CI140">
            <v>8.6E-3</v>
          </cell>
          <cell r="CJ140">
            <v>1.9699999999999999E-2</v>
          </cell>
        </row>
        <row r="141">
          <cell r="BQ141">
            <v>65</v>
          </cell>
          <cell r="BR141">
            <v>0.3135</v>
          </cell>
          <cell r="BS141">
            <v>1365.6518000000001</v>
          </cell>
          <cell r="BT141">
            <v>1.3524</v>
          </cell>
          <cell r="BU141">
            <v>2.6200000000000001E-2</v>
          </cell>
          <cell r="BV141">
            <v>1.2800000000000001E-2</v>
          </cell>
          <cell r="BW141">
            <v>0.02</v>
          </cell>
          <cell r="BX141">
            <v>2.6200000000000001E-2</v>
          </cell>
          <cell r="CC141">
            <v>65</v>
          </cell>
          <cell r="CD141">
            <v>8.7400000000000005E-2</v>
          </cell>
          <cell r="CE141">
            <v>928.84559999999999</v>
          </cell>
          <cell r="CF141">
            <v>0.80810000000000004</v>
          </cell>
          <cell r="CG141">
            <v>2.1100000000000001E-2</v>
          </cell>
          <cell r="CH141">
            <v>8.6999999999999994E-3</v>
          </cell>
          <cell r="CI141">
            <v>8.8999999999999999E-3</v>
          </cell>
          <cell r="CJ141">
            <v>2.1100000000000001E-2</v>
          </cell>
        </row>
        <row r="142">
          <cell r="BQ142">
            <v>66</v>
          </cell>
          <cell r="BR142">
            <v>0.31309999999999999</v>
          </cell>
          <cell r="BS142">
            <v>1350.2911999999999</v>
          </cell>
          <cell r="BT142">
            <v>1.3589</v>
          </cell>
          <cell r="BU142">
            <v>2.64E-2</v>
          </cell>
          <cell r="BV142">
            <v>1.2699999999999999E-2</v>
          </cell>
          <cell r="BW142">
            <v>2.0899999999999998E-2</v>
          </cell>
          <cell r="BX142">
            <v>2.64E-2</v>
          </cell>
          <cell r="CC142">
            <v>66</v>
          </cell>
          <cell r="CD142">
            <v>8.6599999999999996E-2</v>
          </cell>
          <cell r="CE142">
            <v>929.4837</v>
          </cell>
          <cell r="CF142">
            <v>0.8155</v>
          </cell>
          <cell r="CG142">
            <v>2.1299999999999999E-2</v>
          </cell>
          <cell r="CH142">
            <v>8.6999999999999994E-3</v>
          </cell>
          <cell r="CI142">
            <v>9.1000000000000004E-3</v>
          </cell>
          <cell r="CJ142">
            <v>2.1299999999999999E-2</v>
          </cell>
        </row>
        <row r="143">
          <cell r="BQ143">
            <v>67</v>
          </cell>
          <cell r="BR143">
            <v>0.31269999999999998</v>
          </cell>
          <cell r="BS143">
            <v>1335.1033</v>
          </cell>
          <cell r="BT143">
            <v>1.3654999999999999</v>
          </cell>
          <cell r="BU143">
            <v>2.6599999999999999E-2</v>
          </cell>
          <cell r="BV143">
            <v>1.2500000000000001E-2</v>
          </cell>
          <cell r="BW143">
            <v>2.18E-2</v>
          </cell>
          <cell r="BX143">
            <v>2.6599999999999999E-2</v>
          </cell>
          <cell r="CC143">
            <v>67</v>
          </cell>
          <cell r="CD143">
            <v>8.5800000000000001E-2</v>
          </cell>
          <cell r="CE143">
            <v>930.12239999999997</v>
          </cell>
          <cell r="CF143">
            <v>0.82299999999999995</v>
          </cell>
          <cell r="CG143">
            <v>2.1600000000000001E-2</v>
          </cell>
          <cell r="CH143">
            <v>8.6999999999999994E-3</v>
          </cell>
          <cell r="CI143">
            <v>9.1999999999999998E-3</v>
          </cell>
          <cell r="CJ143">
            <v>2.1600000000000001E-2</v>
          </cell>
        </row>
        <row r="144">
          <cell r="BQ144">
            <v>68</v>
          </cell>
          <cell r="BR144">
            <v>0.31240000000000001</v>
          </cell>
          <cell r="BS144">
            <v>1320.0862</v>
          </cell>
          <cell r="BT144">
            <v>1.3722000000000001</v>
          </cell>
          <cell r="BU144">
            <v>2.69E-2</v>
          </cell>
          <cell r="BV144">
            <v>1.24E-2</v>
          </cell>
          <cell r="BW144">
            <v>2.2800000000000001E-2</v>
          </cell>
          <cell r="BX144">
            <v>2.69E-2</v>
          </cell>
          <cell r="CC144">
            <v>68</v>
          </cell>
          <cell r="CD144">
            <v>8.5000000000000006E-2</v>
          </cell>
          <cell r="CE144">
            <v>930.76139999999998</v>
          </cell>
          <cell r="CF144">
            <v>0.8306</v>
          </cell>
          <cell r="CG144">
            <v>2.18E-2</v>
          </cell>
          <cell r="CH144">
            <v>8.6999999999999994E-3</v>
          </cell>
          <cell r="CI144">
            <v>9.4000000000000004E-3</v>
          </cell>
          <cell r="CJ144">
            <v>2.18E-2</v>
          </cell>
        </row>
        <row r="145">
          <cell r="BQ145">
            <v>69</v>
          </cell>
          <cell r="BR145">
            <v>0.312</v>
          </cell>
          <cell r="BS145">
            <v>1305.2381</v>
          </cell>
          <cell r="BT145">
            <v>1.3788</v>
          </cell>
          <cell r="BU145">
            <v>2.7099999999999999E-2</v>
          </cell>
          <cell r="BV145">
            <v>1.23E-2</v>
          </cell>
          <cell r="BW145">
            <v>2.3800000000000002E-2</v>
          </cell>
          <cell r="BX145">
            <v>2.7099999999999999E-2</v>
          </cell>
          <cell r="CC145">
            <v>69</v>
          </cell>
          <cell r="CD145">
            <v>8.4199999999999997E-2</v>
          </cell>
          <cell r="CE145">
            <v>931.40089999999998</v>
          </cell>
          <cell r="CF145">
            <v>0.83830000000000005</v>
          </cell>
          <cell r="CG145">
            <v>2.1999999999999999E-2</v>
          </cell>
          <cell r="CH145">
            <v>8.8000000000000005E-3</v>
          </cell>
          <cell r="CI145">
            <v>9.4999999999999998E-3</v>
          </cell>
          <cell r="CJ145">
            <v>2.1999999999999999E-2</v>
          </cell>
        </row>
        <row r="146">
          <cell r="BQ146">
            <v>70</v>
          </cell>
          <cell r="BR146">
            <v>0.31159999999999999</v>
          </cell>
          <cell r="BS146">
            <v>1290.5569</v>
          </cell>
          <cell r="BT146">
            <v>1.3855</v>
          </cell>
          <cell r="BU146">
            <v>2.7300000000000001E-2</v>
          </cell>
          <cell r="BV146">
            <v>1.2200000000000001E-2</v>
          </cell>
          <cell r="BW146">
            <v>2.4799999999999999E-2</v>
          </cell>
          <cell r="BX146">
            <v>2.7300000000000001E-2</v>
          </cell>
          <cell r="CC146">
            <v>70</v>
          </cell>
          <cell r="CD146">
            <v>8.3400000000000002E-2</v>
          </cell>
          <cell r="CE146">
            <v>932.04079999999999</v>
          </cell>
          <cell r="CF146">
            <v>0.84599999999999997</v>
          </cell>
          <cell r="CG146">
            <v>2.23E-2</v>
          </cell>
          <cell r="CH146">
            <v>8.8000000000000005E-3</v>
          </cell>
          <cell r="CI146">
            <v>9.7000000000000003E-3</v>
          </cell>
          <cell r="CJ146">
            <v>2.23E-2</v>
          </cell>
        </row>
        <row r="148">
          <cell r="BQ148">
            <v>0</v>
          </cell>
          <cell r="BR148">
            <v>1.7524</v>
          </cell>
          <cell r="BS148">
            <v>13.2318</v>
          </cell>
          <cell r="BT148">
            <v>0.53969999999999996</v>
          </cell>
          <cell r="BU148">
            <v>1E-4</v>
          </cell>
          <cell r="BV148">
            <v>1E-4</v>
          </cell>
          <cell r="BW148">
            <v>8.1500000000000003E-2</v>
          </cell>
          <cell r="BX148">
            <v>1E-4</v>
          </cell>
          <cell r="CC148">
            <v>0</v>
          </cell>
          <cell r="CD148">
            <v>0.75390000000000001</v>
          </cell>
          <cell r="CE148">
            <v>6.0008999999999997</v>
          </cell>
          <cell r="CF148">
            <v>0.39250000000000002</v>
          </cell>
          <cell r="CG148">
            <v>1E-4</v>
          </cell>
          <cell r="CH148">
            <v>1E-4</v>
          </cell>
          <cell r="CI148">
            <v>3.6299999999999999E-2</v>
          </cell>
          <cell r="CJ148">
            <v>1E-4</v>
          </cell>
        </row>
        <row r="149">
          <cell r="BQ149">
            <v>5</v>
          </cell>
          <cell r="BR149">
            <v>31.963799999999999</v>
          </cell>
          <cell r="BS149">
            <v>5318.2891</v>
          </cell>
          <cell r="BT149">
            <v>4.1913</v>
          </cell>
          <cell r="BU149">
            <v>3.6799999999999999E-2</v>
          </cell>
          <cell r="BV149">
            <v>1.6199999999999999E-2</v>
          </cell>
          <cell r="BW149">
            <v>0.35499999999999998</v>
          </cell>
          <cell r="BX149">
            <v>3.6799999999999999E-2</v>
          </cell>
          <cell r="CC149">
            <v>5</v>
          </cell>
          <cell r="CD149">
            <v>4.4132999999999996</v>
          </cell>
          <cell r="CE149">
            <v>1358.904</v>
          </cell>
          <cell r="CF149">
            <v>0.86209999999999998</v>
          </cell>
          <cell r="CG149">
            <v>5.3E-3</v>
          </cell>
          <cell r="CH149">
            <v>8.3000000000000001E-3</v>
          </cell>
          <cell r="CI149">
            <v>6.9400000000000003E-2</v>
          </cell>
          <cell r="CJ149">
            <v>5.3E-3</v>
          </cell>
        </row>
        <row r="150">
          <cell r="BQ150">
            <v>6</v>
          </cell>
          <cell r="BR150">
            <v>29.962599999999998</v>
          </cell>
          <cell r="BS150">
            <v>4954.2772999999997</v>
          </cell>
          <cell r="BT150">
            <v>3.8723000000000001</v>
          </cell>
          <cell r="BU150">
            <v>3.4599999999999999E-2</v>
          </cell>
          <cell r="BV150">
            <v>1.5699999999999999E-2</v>
          </cell>
          <cell r="BW150">
            <v>0.32640000000000002</v>
          </cell>
          <cell r="BX150">
            <v>3.4599999999999999E-2</v>
          </cell>
          <cell r="CC150">
            <v>6</v>
          </cell>
          <cell r="CD150">
            <v>3.5421999999999998</v>
          </cell>
          <cell r="CE150">
            <v>1229.3096</v>
          </cell>
          <cell r="CF150">
            <v>0.79279999999999995</v>
          </cell>
          <cell r="CG150">
            <v>4.8999999999999998E-3</v>
          </cell>
          <cell r="CH150">
            <v>7.9000000000000008E-3</v>
          </cell>
          <cell r="CI150">
            <v>6.0999999999999999E-2</v>
          </cell>
          <cell r="CJ150">
            <v>4.8999999999999998E-3</v>
          </cell>
        </row>
        <row r="151">
          <cell r="BQ151">
            <v>7</v>
          </cell>
          <cell r="BR151">
            <v>28.0868</v>
          </cell>
          <cell r="BS151">
            <v>4615.1803</v>
          </cell>
          <cell r="BT151">
            <v>3.5775999999999999</v>
          </cell>
          <cell r="BU151">
            <v>3.2500000000000001E-2</v>
          </cell>
          <cell r="BV151">
            <v>1.5299999999999999E-2</v>
          </cell>
          <cell r="BW151">
            <v>0.3</v>
          </cell>
          <cell r="BX151">
            <v>3.2500000000000001E-2</v>
          </cell>
          <cell r="CC151">
            <v>7</v>
          </cell>
          <cell r="CD151">
            <v>2.8431000000000002</v>
          </cell>
          <cell r="CE151">
            <v>1112.0741</v>
          </cell>
          <cell r="CF151">
            <v>0.72899999999999998</v>
          </cell>
          <cell r="CG151">
            <v>4.5999999999999999E-3</v>
          </cell>
          <cell r="CH151">
            <v>7.4999999999999997E-3</v>
          </cell>
          <cell r="CI151">
            <v>5.3699999999999998E-2</v>
          </cell>
          <cell r="CJ151">
            <v>4.5999999999999999E-3</v>
          </cell>
        </row>
        <row r="152">
          <cell r="BQ152">
            <v>8</v>
          </cell>
          <cell r="BR152">
            <v>26.328399999999998</v>
          </cell>
          <cell r="BS152">
            <v>4299.2929000000004</v>
          </cell>
          <cell r="BT152">
            <v>3.3052999999999999</v>
          </cell>
          <cell r="BU152">
            <v>3.0599999999999999E-2</v>
          </cell>
          <cell r="BV152">
            <v>1.49E-2</v>
          </cell>
          <cell r="BW152">
            <v>0.27579999999999999</v>
          </cell>
          <cell r="BX152">
            <v>3.0599999999999999E-2</v>
          </cell>
          <cell r="CC152">
            <v>8</v>
          </cell>
          <cell r="CD152">
            <v>2.282</v>
          </cell>
          <cell r="CE152">
            <v>1006.0191</v>
          </cell>
          <cell r="CF152">
            <v>0.6704</v>
          </cell>
          <cell r="CG152">
            <v>4.1999999999999997E-3</v>
          </cell>
          <cell r="CH152">
            <v>7.1000000000000004E-3</v>
          </cell>
          <cell r="CI152">
            <v>4.7199999999999999E-2</v>
          </cell>
          <cell r="CJ152">
            <v>4.1999999999999997E-3</v>
          </cell>
        </row>
        <row r="153">
          <cell r="BQ153">
            <v>9</v>
          </cell>
          <cell r="BR153">
            <v>24.680099999999999</v>
          </cell>
          <cell r="BS153">
            <v>4005.0264999999999</v>
          </cell>
          <cell r="BT153">
            <v>3.0537000000000001</v>
          </cell>
          <cell r="BU153">
            <v>2.87E-2</v>
          </cell>
          <cell r="BV153">
            <v>1.4500000000000001E-2</v>
          </cell>
          <cell r="BW153">
            <v>0.25359999999999999</v>
          </cell>
          <cell r="BX153">
            <v>2.87E-2</v>
          </cell>
          <cell r="CC153">
            <v>9</v>
          </cell>
          <cell r="CD153">
            <v>1.8315999999999999</v>
          </cell>
          <cell r="CE153">
            <v>910.07820000000004</v>
          </cell>
          <cell r="CF153">
            <v>0.61650000000000005</v>
          </cell>
          <cell r="CG153">
            <v>3.8999999999999998E-3</v>
          </cell>
          <cell r="CH153">
            <v>6.7000000000000002E-3</v>
          </cell>
          <cell r="CI153">
            <v>4.1500000000000002E-2</v>
          </cell>
          <cell r="CJ153">
            <v>3.8999999999999998E-3</v>
          </cell>
        </row>
        <row r="154">
          <cell r="BQ154">
            <v>10</v>
          </cell>
          <cell r="BR154">
            <v>23.134899999999998</v>
          </cell>
          <cell r="BS154">
            <v>3730.9013</v>
          </cell>
          <cell r="BT154">
            <v>2.8212999999999999</v>
          </cell>
          <cell r="BU154">
            <v>2.7E-2</v>
          </cell>
          <cell r="BV154">
            <v>1.41E-2</v>
          </cell>
          <cell r="BW154">
            <v>0.2331</v>
          </cell>
          <cell r="BX154">
            <v>2.7E-2</v>
          </cell>
          <cell r="CC154">
            <v>10</v>
          </cell>
          <cell r="CD154">
            <v>1.4701</v>
          </cell>
          <cell r="CE154">
            <v>823.28679999999997</v>
          </cell>
          <cell r="CF154">
            <v>0.56689999999999996</v>
          </cell>
          <cell r="CG154">
            <v>3.7000000000000002E-3</v>
          </cell>
          <cell r="CH154">
            <v>6.3E-3</v>
          </cell>
          <cell r="CI154">
            <v>3.6499999999999998E-2</v>
          </cell>
          <cell r="CJ154">
            <v>3.7000000000000002E-3</v>
          </cell>
        </row>
        <row r="155">
          <cell r="BQ155">
            <v>11</v>
          </cell>
          <cell r="BR155">
            <v>21.849900000000002</v>
          </cell>
          <cell r="BS155">
            <v>3416.1437999999998</v>
          </cell>
          <cell r="BT155">
            <v>2.5832999999999999</v>
          </cell>
          <cell r="BU155">
            <v>2.41E-2</v>
          </cell>
          <cell r="BV155">
            <v>1.3299999999999999E-2</v>
          </cell>
          <cell r="BW155">
            <v>0.2059</v>
          </cell>
          <cell r="BX155">
            <v>2.41E-2</v>
          </cell>
          <cell r="CC155">
            <v>11</v>
          </cell>
          <cell r="CD155">
            <v>1.2748999999999999</v>
          </cell>
          <cell r="CE155">
            <v>759.99680000000001</v>
          </cell>
          <cell r="CF155">
            <v>0.50470000000000004</v>
          </cell>
          <cell r="CG155">
            <v>3.3E-3</v>
          </cell>
          <cell r="CH155">
            <v>5.8999999999999999E-3</v>
          </cell>
          <cell r="CI155">
            <v>3.0800000000000001E-2</v>
          </cell>
          <cell r="CJ155">
            <v>3.3E-3</v>
          </cell>
        </row>
        <row r="156">
          <cell r="BQ156">
            <v>12</v>
          </cell>
          <cell r="BR156">
            <v>20.636199999999999</v>
          </cell>
          <cell r="BS156">
            <v>3127.9409000000001</v>
          </cell>
          <cell r="BT156">
            <v>2.3654999999999999</v>
          </cell>
          <cell r="BU156">
            <v>2.1600000000000001E-2</v>
          </cell>
          <cell r="BV156">
            <v>1.2699999999999999E-2</v>
          </cell>
          <cell r="BW156">
            <v>0.18190000000000001</v>
          </cell>
          <cell r="BX156">
            <v>2.1600000000000001E-2</v>
          </cell>
          <cell r="CC156">
            <v>12</v>
          </cell>
          <cell r="CD156">
            <v>1.1055999999999999</v>
          </cell>
          <cell r="CE156">
            <v>701.57209999999998</v>
          </cell>
          <cell r="CF156">
            <v>0.44929999999999998</v>
          </cell>
          <cell r="CG156">
            <v>2.8999999999999998E-3</v>
          </cell>
          <cell r="CH156">
            <v>5.4999999999999997E-3</v>
          </cell>
          <cell r="CI156">
            <v>2.5899999999999999E-2</v>
          </cell>
          <cell r="CJ156">
            <v>2.8999999999999998E-3</v>
          </cell>
        </row>
        <row r="157">
          <cell r="BQ157">
            <v>13</v>
          </cell>
          <cell r="BR157">
            <v>19.489899999999999</v>
          </cell>
          <cell r="BS157">
            <v>2864.0522000000001</v>
          </cell>
          <cell r="BT157">
            <v>2.1659999999999999</v>
          </cell>
          <cell r="BU157">
            <v>1.9300000000000001E-2</v>
          </cell>
          <cell r="BV157">
            <v>1.2E-2</v>
          </cell>
          <cell r="BW157">
            <v>0.16059999999999999</v>
          </cell>
          <cell r="BX157">
            <v>1.9300000000000001E-2</v>
          </cell>
          <cell r="CC157">
            <v>13</v>
          </cell>
          <cell r="CD157">
            <v>0.95879999999999999</v>
          </cell>
          <cell r="CE157">
            <v>647.63879999999995</v>
          </cell>
          <cell r="CF157">
            <v>0.4</v>
          </cell>
          <cell r="CG157">
            <v>2.5999999999999999E-3</v>
          </cell>
          <cell r="CH157">
            <v>5.1999999999999998E-3</v>
          </cell>
          <cell r="CI157">
            <v>2.1899999999999999E-2</v>
          </cell>
          <cell r="CJ157">
            <v>2.5999999999999999E-3</v>
          </cell>
        </row>
        <row r="158">
          <cell r="BQ158">
            <v>14</v>
          </cell>
          <cell r="BR158">
            <v>18.407299999999999</v>
          </cell>
          <cell r="BS158">
            <v>2622.4265</v>
          </cell>
          <cell r="BT158">
            <v>1.9833000000000001</v>
          </cell>
          <cell r="BU158">
            <v>1.72E-2</v>
          </cell>
          <cell r="BV158">
            <v>1.14E-2</v>
          </cell>
          <cell r="BW158">
            <v>0.1419</v>
          </cell>
          <cell r="BX158">
            <v>1.72E-2</v>
          </cell>
          <cell r="CC158">
            <v>14</v>
          </cell>
          <cell r="CD158">
            <v>0.83150000000000002</v>
          </cell>
          <cell r="CE158">
            <v>597.85170000000005</v>
          </cell>
          <cell r="CF158">
            <v>0.35610000000000003</v>
          </cell>
          <cell r="CG158">
            <v>2.3999999999999998E-3</v>
          </cell>
          <cell r="CH158">
            <v>4.7999999999999996E-3</v>
          </cell>
          <cell r="CI158">
            <v>1.84E-2</v>
          </cell>
          <cell r="CJ158">
            <v>2.3999999999999998E-3</v>
          </cell>
        </row>
        <row r="159">
          <cell r="BQ159">
            <v>15</v>
          </cell>
          <cell r="BR159">
            <v>17.384799999999998</v>
          </cell>
          <cell r="BS159">
            <v>2401.1855</v>
          </cell>
          <cell r="BT159">
            <v>1.8160000000000001</v>
          </cell>
          <cell r="BU159">
            <v>1.54E-2</v>
          </cell>
          <cell r="BV159">
            <v>1.0800000000000001E-2</v>
          </cell>
          <cell r="BW159">
            <v>0.12529999999999999</v>
          </cell>
          <cell r="BX159">
            <v>1.54E-2</v>
          </cell>
          <cell r="CC159">
            <v>15</v>
          </cell>
          <cell r="CD159">
            <v>0.72109999999999996</v>
          </cell>
          <cell r="CE159">
            <v>551.89189999999996</v>
          </cell>
          <cell r="CF159">
            <v>0.31709999999999999</v>
          </cell>
          <cell r="CG159">
            <v>2.0999999999999999E-3</v>
          </cell>
          <cell r="CH159">
            <v>4.4999999999999997E-3</v>
          </cell>
          <cell r="CI159">
            <v>1.55E-2</v>
          </cell>
          <cell r="CJ159">
            <v>2.0999999999999999E-3</v>
          </cell>
        </row>
        <row r="160">
          <cell r="BQ160">
            <v>16</v>
          </cell>
          <cell r="BR160">
            <v>19.113299999999999</v>
          </cell>
          <cell r="BS160">
            <v>2343.2881000000002</v>
          </cell>
          <cell r="BT160">
            <v>1.5686</v>
          </cell>
          <cell r="BU160">
            <v>1.2E-2</v>
          </cell>
          <cell r="BV160">
            <v>9.1999999999999998E-3</v>
          </cell>
          <cell r="BW160">
            <v>0.10680000000000001</v>
          </cell>
          <cell r="BX160">
            <v>1.2E-2</v>
          </cell>
          <cell r="CC160">
            <v>16</v>
          </cell>
          <cell r="CD160">
            <v>0.53359999999999996</v>
          </cell>
          <cell r="CE160">
            <v>427.09750000000003</v>
          </cell>
          <cell r="CF160">
            <v>0.24460000000000001</v>
          </cell>
          <cell r="CG160">
            <v>1.6000000000000001E-3</v>
          </cell>
          <cell r="CH160">
            <v>3.5000000000000001E-3</v>
          </cell>
          <cell r="CI160">
            <v>1.1299999999999999E-2</v>
          </cell>
          <cell r="CJ160">
            <v>1.6000000000000001E-3</v>
          </cell>
        </row>
        <row r="161">
          <cell r="BQ161">
            <v>17</v>
          </cell>
          <cell r="BR161">
            <v>21.0138</v>
          </cell>
          <cell r="BS161">
            <v>2286.7867000000001</v>
          </cell>
          <cell r="BT161">
            <v>1.3549</v>
          </cell>
          <cell r="BU161">
            <v>9.2999999999999992E-3</v>
          </cell>
          <cell r="BV161">
            <v>7.7999999999999996E-3</v>
          </cell>
          <cell r="BW161">
            <v>9.0999999999999998E-2</v>
          </cell>
          <cell r="BX161">
            <v>9.2999999999999992E-3</v>
          </cell>
          <cell r="CC161">
            <v>17</v>
          </cell>
          <cell r="CD161">
            <v>0.39489999999999997</v>
          </cell>
          <cell r="CE161">
            <v>330.52179999999998</v>
          </cell>
          <cell r="CF161">
            <v>0.1888</v>
          </cell>
          <cell r="CG161">
            <v>1.1999999999999999E-3</v>
          </cell>
          <cell r="CH161">
            <v>2.7000000000000001E-3</v>
          </cell>
          <cell r="CI161">
            <v>8.2000000000000007E-3</v>
          </cell>
          <cell r="CJ161">
            <v>1.1999999999999999E-3</v>
          </cell>
        </row>
        <row r="162">
          <cell r="BQ162">
            <v>18</v>
          </cell>
          <cell r="BR162">
            <v>23.103100000000001</v>
          </cell>
          <cell r="BS162">
            <v>2231.6477</v>
          </cell>
          <cell r="BT162">
            <v>1.1702999999999999</v>
          </cell>
          <cell r="BU162">
            <v>7.3000000000000001E-3</v>
          </cell>
          <cell r="BV162">
            <v>6.6E-3</v>
          </cell>
          <cell r="BW162">
            <v>7.7600000000000002E-2</v>
          </cell>
          <cell r="BX162">
            <v>7.3000000000000001E-3</v>
          </cell>
          <cell r="CC162">
            <v>18</v>
          </cell>
          <cell r="CD162">
            <v>0.29220000000000002</v>
          </cell>
          <cell r="CE162">
            <v>255.78389999999999</v>
          </cell>
          <cell r="CF162">
            <v>0.14560000000000001</v>
          </cell>
          <cell r="CG162">
            <v>8.9999999999999998E-4</v>
          </cell>
          <cell r="CH162">
            <v>2.0999999999999999E-3</v>
          </cell>
          <cell r="CI162">
            <v>6.0000000000000001E-3</v>
          </cell>
          <cell r="CJ162">
            <v>8.9999999999999998E-4</v>
          </cell>
        </row>
        <row r="163">
          <cell r="BQ163">
            <v>19</v>
          </cell>
          <cell r="BR163">
            <v>25.400200000000002</v>
          </cell>
          <cell r="BS163">
            <v>2177.8382000000001</v>
          </cell>
          <cell r="BT163">
            <v>1.0107999999999999</v>
          </cell>
          <cell r="BU163">
            <v>5.7000000000000002E-3</v>
          </cell>
          <cell r="BV163">
            <v>5.5999999999999999E-3</v>
          </cell>
          <cell r="BW163">
            <v>6.6100000000000006E-2</v>
          </cell>
          <cell r="BX163">
            <v>5.7000000000000002E-3</v>
          </cell>
          <cell r="CC163">
            <v>19</v>
          </cell>
          <cell r="CD163">
            <v>0.2162</v>
          </cell>
          <cell r="CE163">
            <v>197.94579999999999</v>
          </cell>
          <cell r="CF163">
            <v>0.1124</v>
          </cell>
          <cell r="CG163">
            <v>6.9999999999999999E-4</v>
          </cell>
          <cell r="CH163">
            <v>1.6999999999999999E-3</v>
          </cell>
          <cell r="CI163">
            <v>4.4000000000000003E-3</v>
          </cell>
          <cell r="CJ163">
            <v>6.9999999999999999E-4</v>
          </cell>
        </row>
        <row r="164">
          <cell r="BQ164">
            <v>20</v>
          </cell>
          <cell r="BR164">
            <v>27.925699999999999</v>
          </cell>
          <cell r="BS164">
            <v>2125.3262</v>
          </cell>
          <cell r="BT164">
            <v>0.87309999999999999</v>
          </cell>
          <cell r="BU164">
            <v>4.4000000000000003E-3</v>
          </cell>
          <cell r="BV164">
            <v>4.7000000000000002E-3</v>
          </cell>
          <cell r="BW164">
            <v>5.6300000000000003E-2</v>
          </cell>
          <cell r="BX164">
            <v>4.4000000000000003E-3</v>
          </cell>
          <cell r="CC164">
            <v>20</v>
          </cell>
          <cell r="CD164">
            <v>0.16</v>
          </cell>
          <cell r="CE164">
            <v>153.18610000000001</v>
          </cell>
          <cell r="CF164">
            <v>8.6699999999999999E-2</v>
          </cell>
          <cell r="CG164">
            <v>5.0000000000000001E-4</v>
          </cell>
          <cell r="CH164">
            <v>1.2999999999999999E-3</v>
          </cell>
          <cell r="CI164">
            <v>3.2000000000000002E-3</v>
          </cell>
          <cell r="CJ164">
            <v>5.0000000000000001E-4</v>
          </cell>
        </row>
        <row r="165">
          <cell r="BQ165">
            <v>21</v>
          </cell>
          <cell r="BR165">
            <v>21.3276</v>
          </cell>
          <cell r="BS165">
            <v>1958.9477999999999</v>
          </cell>
          <cell r="BT165">
            <v>0.96619999999999995</v>
          </cell>
          <cell r="BU165">
            <v>5.3E-3</v>
          </cell>
          <cell r="BV165">
            <v>5.4999999999999997E-3</v>
          </cell>
          <cell r="BW165">
            <v>5.8900000000000001E-2</v>
          </cell>
          <cell r="BX165">
            <v>5.3E-3</v>
          </cell>
          <cell r="CC165">
            <v>21</v>
          </cell>
          <cell r="CD165">
            <v>0.19950000000000001</v>
          </cell>
          <cell r="CE165">
            <v>195.50790000000001</v>
          </cell>
          <cell r="CF165">
            <v>0.11</v>
          </cell>
          <cell r="CG165">
            <v>6.9999999999999999E-4</v>
          </cell>
          <cell r="CH165">
            <v>1.6000000000000001E-3</v>
          </cell>
          <cell r="CI165">
            <v>3.8999999999999998E-3</v>
          </cell>
          <cell r="CJ165">
            <v>6.9999999999999999E-4</v>
          </cell>
        </row>
        <row r="166">
          <cell r="BQ166">
            <v>22</v>
          </cell>
          <cell r="BR166">
            <v>16.288399999999999</v>
          </cell>
          <cell r="BS166">
            <v>1805.5941</v>
          </cell>
          <cell r="BT166">
            <v>1.0691999999999999</v>
          </cell>
          <cell r="BU166">
            <v>6.3E-3</v>
          </cell>
          <cell r="BV166">
            <v>6.4000000000000003E-3</v>
          </cell>
          <cell r="BW166">
            <v>6.1600000000000002E-2</v>
          </cell>
          <cell r="BX166">
            <v>6.3E-3</v>
          </cell>
          <cell r="CC166">
            <v>22</v>
          </cell>
          <cell r="CD166">
            <v>0.2487</v>
          </cell>
          <cell r="CE166">
            <v>249.5223</v>
          </cell>
          <cell r="CF166">
            <v>0.13950000000000001</v>
          </cell>
          <cell r="CG166">
            <v>8.9999999999999998E-4</v>
          </cell>
          <cell r="CH166">
            <v>2.0999999999999999E-3</v>
          </cell>
          <cell r="CI166">
            <v>4.8999999999999998E-3</v>
          </cell>
          <cell r="CJ166">
            <v>8.9999999999999998E-4</v>
          </cell>
        </row>
        <row r="167">
          <cell r="BQ167">
            <v>23</v>
          </cell>
          <cell r="BR167">
            <v>12.4399</v>
          </cell>
          <cell r="BS167">
            <v>1664.2455</v>
          </cell>
          <cell r="BT167">
            <v>1.1832</v>
          </cell>
          <cell r="BU167">
            <v>7.6E-3</v>
          </cell>
          <cell r="BV167">
            <v>7.4999999999999997E-3</v>
          </cell>
          <cell r="BW167">
            <v>6.4399999999999999E-2</v>
          </cell>
          <cell r="BX167">
            <v>7.6E-3</v>
          </cell>
          <cell r="CC167">
            <v>23</v>
          </cell>
          <cell r="CD167">
            <v>0.31</v>
          </cell>
          <cell r="CE167">
            <v>318.45960000000002</v>
          </cell>
          <cell r="CF167">
            <v>0.17699999999999999</v>
          </cell>
          <cell r="CG167">
            <v>1.1000000000000001E-3</v>
          </cell>
          <cell r="CH167">
            <v>2.7000000000000001E-3</v>
          </cell>
          <cell r="CI167">
            <v>6.1000000000000004E-3</v>
          </cell>
          <cell r="CJ167">
            <v>1.1000000000000001E-3</v>
          </cell>
        </row>
        <row r="168">
          <cell r="BQ168">
            <v>24</v>
          </cell>
          <cell r="BR168">
            <v>9.5006000000000004</v>
          </cell>
          <cell r="BS168">
            <v>1533.9621</v>
          </cell>
          <cell r="BT168">
            <v>1.3093999999999999</v>
          </cell>
          <cell r="BU168">
            <v>9.1000000000000004E-3</v>
          </cell>
          <cell r="BV168">
            <v>8.6999999999999994E-3</v>
          </cell>
          <cell r="BW168">
            <v>6.7299999999999999E-2</v>
          </cell>
          <cell r="BX168">
            <v>9.1000000000000004E-3</v>
          </cell>
          <cell r="CC168">
            <v>24</v>
          </cell>
          <cell r="CD168">
            <v>0.38640000000000002</v>
          </cell>
          <cell r="CE168">
            <v>406.4427</v>
          </cell>
          <cell r="CF168">
            <v>0.22459999999999999</v>
          </cell>
          <cell r="CG168">
            <v>1.4E-3</v>
          </cell>
          <cell r="CH168">
            <v>3.3999999999999998E-3</v>
          </cell>
          <cell r="CI168">
            <v>7.6E-3</v>
          </cell>
          <cell r="CJ168">
            <v>1.4E-3</v>
          </cell>
        </row>
        <row r="169">
          <cell r="BQ169">
            <v>25</v>
          </cell>
          <cell r="BR169">
            <v>7.2558999999999996</v>
          </cell>
          <cell r="BS169">
            <v>1413.8779</v>
          </cell>
          <cell r="BT169">
            <v>1.4490000000000001</v>
          </cell>
          <cell r="BU169">
            <v>1.09E-2</v>
          </cell>
          <cell r="BV169">
            <v>1.01E-2</v>
          </cell>
          <cell r="BW169">
            <v>7.0400000000000004E-2</v>
          </cell>
          <cell r="BX169">
            <v>1.09E-2</v>
          </cell>
          <cell r="CC169">
            <v>25</v>
          </cell>
          <cell r="CD169">
            <v>0.48170000000000002</v>
          </cell>
          <cell r="CE169">
            <v>518.73350000000005</v>
          </cell>
          <cell r="CF169">
            <v>0.28499999999999998</v>
          </cell>
          <cell r="CG169">
            <v>1.8E-3</v>
          </cell>
          <cell r="CH169">
            <v>4.4000000000000003E-3</v>
          </cell>
          <cell r="CI169">
            <v>9.4000000000000004E-3</v>
          </cell>
          <cell r="CJ169">
            <v>1.8E-3</v>
          </cell>
        </row>
        <row r="170">
          <cell r="BQ170">
            <v>26</v>
          </cell>
          <cell r="BR170">
            <v>7.1788999999999996</v>
          </cell>
          <cell r="BS170">
            <v>1378.7891</v>
          </cell>
          <cell r="BT170">
            <v>1.4072</v>
          </cell>
          <cell r="BU170">
            <v>1.06E-2</v>
          </cell>
          <cell r="BV170">
            <v>9.9000000000000008E-3</v>
          </cell>
          <cell r="BW170">
            <v>6.7699999999999996E-2</v>
          </cell>
          <cell r="BX170">
            <v>1.06E-2</v>
          </cell>
          <cell r="CC170">
            <v>26</v>
          </cell>
          <cell r="CD170">
            <v>0.45240000000000002</v>
          </cell>
          <cell r="CE170">
            <v>503.87630000000001</v>
          </cell>
          <cell r="CF170">
            <v>0.27160000000000001</v>
          </cell>
          <cell r="CG170">
            <v>1.6999999999999999E-3</v>
          </cell>
          <cell r="CH170">
            <v>4.3E-3</v>
          </cell>
          <cell r="CI170">
            <v>8.8999999999999999E-3</v>
          </cell>
          <cell r="CJ170">
            <v>1.6999999999999999E-3</v>
          </cell>
        </row>
        <row r="171">
          <cell r="BQ171">
            <v>27</v>
          </cell>
          <cell r="BR171">
            <v>7.1028000000000002</v>
          </cell>
          <cell r="BS171">
            <v>1344.5709999999999</v>
          </cell>
          <cell r="BT171">
            <v>1.3666</v>
          </cell>
          <cell r="BU171">
            <v>1.03E-2</v>
          </cell>
          <cell r="BV171">
            <v>9.7000000000000003E-3</v>
          </cell>
          <cell r="BW171">
            <v>6.5100000000000005E-2</v>
          </cell>
          <cell r="BX171">
            <v>1.03E-2</v>
          </cell>
          <cell r="CC171">
            <v>27</v>
          </cell>
          <cell r="CD171">
            <v>0.4249</v>
          </cell>
          <cell r="CE171">
            <v>489.44459999999998</v>
          </cell>
          <cell r="CF171">
            <v>0.25890000000000002</v>
          </cell>
          <cell r="CG171">
            <v>1.6999999999999999E-3</v>
          </cell>
          <cell r="CH171">
            <v>4.1999999999999997E-3</v>
          </cell>
          <cell r="CI171">
            <v>8.5000000000000006E-3</v>
          </cell>
          <cell r="CJ171">
            <v>1.6999999999999999E-3</v>
          </cell>
        </row>
        <row r="172">
          <cell r="BQ172">
            <v>28</v>
          </cell>
          <cell r="BR172">
            <v>7.0274999999999999</v>
          </cell>
          <cell r="BS172">
            <v>1311.2021999999999</v>
          </cell>
          <cell r="BT172">
            <v>1.3271999999999999</v>
          </cell>
          <cell r="BU172">
            <v>0.01</v>
          </cell>
          <cell r="BV172">
            <v>9.4999999999999998E-3</v>
          </cell>
          <cell r="BW172">
            <v>6.2600000000000003E-2</v>
          </cell>
          <cell r="BX172">
            <v>0.01</v>
          </cell>
          <cell r="CC172">
            <v>28</v>
          </cell>
          <cell r="CD172">
            <v>0.39910000000000001</v>
          </cell>
          <cell r="CE172">
            <v>475.42619999999999</v>
          </cell>
          <cell r="CF172">
            <v>0.24679999999999999</v>
          </cell>
          <cell r="CG172">
            <v>1.6999999999999999E-3</v>
          </cell>
          <cell r="CH172">
            <v>4.0000000000000001E-3</v>
          </cell>
          <cell r="CI172">
            <v>8.0999999999999996E-3</v>
          </cell>
          <cell r="CJ172">
            <v>1.6999999999999999E-3</v>
          </cell>
        </row>
        <row r="173">
          <cell r="BQ173">
            <v>29</v>
          </cell>
          <cell r="BR173">
            <v>6.9528999999999996</v>
          </cell>
          <cell r="BS173">
            <v>1278.6614999999999</v>
          </cell>
          <cell r="BT173">
            <v>1.2889999999999999</v>
          </cell>
          <cell r="BU173">
            <v>9.7000000000000003E-3</v>
          </cell>
          <cell r="BV173">
            <v>9.4000000000000004E-3</v>
          </cell>
          <cell r="BW173">
            <v>6.0199999999999997E-2</v>
          </cell>
          <cell r="BX173">
            <v>9.7000000000000003E-3</v>
          </cell>
          <cell r="CC173">
            <v>29</v>
          </cell>
          <cell r="CD173">
            <v>0.37480000000000002</v>
          </cell>
          <cell r="CE173">
            <v>461.80939999999998</v>
          </cell>
          <cell r="CF173">
            <v>0.23519999999999999</v>
          </cell>
          <cell r="CG173">
            <v>1.6000000000000001E-3</v>
          </cell>
          <cell r="CH173">
            <v>3.8999999999999998E-3</v>
          </cell>
          <cell r="CI173">
            <v>7.7000000000000002E-3</v>
          </cell>
          <cell r="CJ173">
            <v>1.6000000000000001E-3</v>
          </cell>
        </row>
        <row r="174">
          <cell r="BQ174">
            <v>30</v>
          </cell>
          <cell r="BR174">
            <v>6.8792</v>
          </cell>
          <cell r="BS174">
            <v>1246.9284</v>
          </cell>
          <cell r="BT174">
            <v>1.2518</v>
          </cell>
          <cell r="BU174">
            <v>9.4999999999999998E-3</v>
          </cell>
          <cell r="BV174">
            <v>9.1999999999999998E-3</v>
          </cell>
          <cell r="BW174">
            <v>5.79E-2</v>
          </cell>
          <cell r="BX174">
            <v>9.4999999999999998E-3</v>
          </cell>
          <cell r="CC174">
            <v>30</v>
          </cell>
          <cell r="CD174">
            <v>0.35199999999999998</v>
          </cell>
          <cell r="CE174">
            <v>448.58260000000001</v>
          </cell>
          <cell r="CF174">
            <v>0.22420000000000001</v>
          </cell>
          <cell r="CG174">
            <v>1.6000000000000001E-3</v>
          </cell>
          <cell r="CH174">
            <v>3.8E-3</v>
          </cell>
          <cell r="CI174">
            <v>7.3000000000000001E-3</v>
          </cell>
          <cell r="CJ174">
            <v>1.6000000000000001E-3</v>
          </cell>
        </row>
        <row r="175">
          <cell r="BQ175">
            <v>31</v>
          </cell>
          <cell r="BR175">
            <v>6.6943999999999999</v>
          </cell>
          <cell r="BS175">
            <v>1222.2643</v>
          </cell>
          <cell r="BT175">
            <v>1.234</v>
          </cell>
          <cell r="BU175">
            <v>9.4999999999999998E-3</v>
          </cell>
          <cell r="BV175">
            <v>9.1000000000000004E-3</v>
          </cell>
          <cell r="BW175">
            <v>5.6399999999999999E-2</v>
          </cell>
          <cell r="BX175">
            <v>9.4999999999999998E-3</v>
          </cell>
          <cell r="CC175">
            <v>31</v>
          </cell>
          <cell r="CD175">
            <v>0.3357</v>
          </cell>
          <cell r="CE175">
            <v>444.99340000000001</v>
          </cell>
          <cell r="CF175">
            <v>0.218</v>
          </cell>
          <cell r="CG175">
            <v>1.6000000000000001E-3</v>
          </cell>
          <cell r="CH175">
            <v>3.8E-3</v>
          </cell>
          <cell r="CI175">
            <v>7.1000000000000004E-3</v>
          </cell>
          <cell r="CJ175">
            <v>1.6000000000000001E-3</v>
          </cell>
        </row>
        <row r="176">
          <cell r="BQ176">
            <v>32</v>
          </cell>
          <cell r="BR176">
            <v>6.5145999999999997</v>
          </cell>
          <cell r="BS176">
            <v>1198.088</v>
          </cell>
          <cell r="BT176">
            <v>1.2164999999999999</v>
          </cell>
          <cell r="BU176">
            <v>9.5999999999999992E-3</v>
          </cell>
          <cell r="BV176">
            <v>8.9999999999999993E-3</v>
          </cell>
          <cell r="BW176">
            <v>5.5E-2</v>
          </cell>
          <cell r="BX176">
            <v>9.5999999999999992E-3</v>
          </cell>
          <cell r="CC176">
            <v>32</v>
          </cell>
          <cell r="CD176">
            <v>0.32019999999999998</v>
          </cell>
          <cell r="CE176">
            <v>441.43290000000002</v>
          </cell>
          <cell r="CF176">
            <v>0.21210000000000001</v>
          </cell>
          <cell r="CG176">
            <v>1.6000000000000001E-3</v>
          </cell>
          <cell r="CH176">
            <v>3.8E-3</v>
          </cell>
          <cell r="CI176">
            <v>7.0000000000000001E-3</v>
          </cell>
          <cell r="CJ176">
            <v>1.6000000000000001E-3</v>
          </cell>
        </row>
        <row r="177">
          <cell r="BQ177">
            <v>33</v>
          </cell>
          <cell r="BR177">
            <v>6.3395999999999999</v>
          </cell>
          <cell r="BS177">
            <v>1174.3900000000001</v>
          </cell>
          <cell r="BT177">
            <v>1.1992</v>
          </cell>
          <cell r="BU177">
            <v>9.5999999999999992E-3</v>
          </cell>
          <cell r="BV177">
            <v>8.8999999999999999E-3</v>
          </cell>
          <cell r="BW177">
            <v>5.3600000000000002E-2</v>
          </cell>
          <cell r="BX177">
            <v>9.5999999999999992E-3</v>
          </cell>
          <cell r="CC177">
            <v>33</v>
          </cell>
          <cell r="CD177">
            <v>0.3054</v>
          </cell>
          <cell r="CE177">
            <v>437.90089999999998</v>
          </cell>
          <cell r="CF177">
            <v>0.20619999999999999</v>
          </cell>
          <cell r="CG177">
            <v>1.6999999999999999E-3</v>
          </cell>
          <cell r="CH177">
            <v>3.8E-3</v>
          </cell>
          <cell r="CI177">
            <v>6.7999999999999996E-3</v>
          </cell>
          <cell r="CJ177">
            <v>1.6999999999999999E-3</v>
          </cell>
        </row>
        <row r="178">
          <cell r="BQ178">
            <v>34</v>
          </cell>
          <cell r="BR178">
            <v>6.1692999999999998</v>
          </cell>
          <cell r="BS178">
            <v>1151.1606999999999</v>
          </cell>
          <cell r="BT178">
            <v>1.1821999999999999</v>
          </cell>
          <cell r="BU178">
            <v>9.7000000000000003E-3</v>
          </cell>
          <cell r="BV178">
            <v>8.8000000000000005E-3</v>
          </cell>
          <cell r="BW178">
            <v>5.2299999999999999E-2</v>
          </cell>
          <cell r="BX178">
            <v>9.7000000000000003E-3</v>
          </cell>
          <cell r="CC178">
            <v>34</v>
          </cell>
          <cell r="CD178">
            <v>0.2913</v>
          </cell>
          <cell r="CE178">
            <v>434.3972</v>
          </cell>
          <cell r="CF178">
            <v>0.2006</v>
          </cell>
          <cell r="CG178">
            <v>1.6999999999999999E-3</v>
          </cell>
          <cell r="CH178">
            <v>3.8E-3</v>
          </cell>
          <cell r="CI178">
            <v>6.6E-3</v>
          </cell>
          <cell r="CJ178">
            <v>1.6999999999999999E-3</v>
          </cell>
        </row>
        <row r="179">
          <cell r="BQ179">
            <v>35</v>
          </cell>
          <cell r="BR179">
            <v>6.0034999999999998</v>
          </cell>
          <cell r="BS179">
            <v>1128.3909000000001</v>
          </cell>
          <cell r="BT179">
            <v>1.1654</v>
          </cell>
          <cell r="BU179">
            <v>9.7000000000000003E-3</v>
          </cell>
          <cell r="BV179">
            <v>8.6999999999999994E-3</v>
          </cell>
          <cell r="BW179">
            <v>5.0999999999999997E-2</v>
          </cell>
          <cell r="BX179">
            <v>9.7000000000000003E-3</v>
          </cell>
          <cell r="CC179">
            <v>35</v>
          </cell>
          <cell r="CD179">
            <v>0.27789999999999998</v>
          </cell>
          <cell r="CE179">
            <v>430.92149999999998</v>
          </cell>
          <cell r="CF179">
            <v>0.1951</v>
          </cell>
          <cell r="CG179">
            <v>1.6999999999999999E-3</v>
          </cell>
          <cell r="CH179">
            <v>3.7000000000000002E-3</v>
          </cell>
          <cell r="CI179">
            <v>6.4999999999999997E-3</v>
          </cell>
          <cell r="CJ179">
            <v>1.6999999999999999E-3</v>
          </cell>
        </row>
        <row r="180">
          <cell r="BQ180">
            <v>36</v>
          </cell>
          <cell r="BR180">
            <v>5.7911999999999999</v>
          </cell>
          <cell r="BS180">
            <v>1115.9713999999999</v>
          </cell>
          <cell r="BT180">
            <v>1.1584000000000001</v>
          </cell>
          <cell r="BU180">
            <v>9.9000000000000008E-3</v>
          </cell>
          <cell r="BV180">
            <v>8.6999999999999994E-3</v>
          </cell>
          <cell r="BW180">
            <v>4.9799999999999997E-2</v>
          </cell>
          <cell r="BX180">
            <v>9.9000000000000008E-3</v>
          </cell>
          <cell r="CC180">
            <v>36</v>
          </cell>
          <cell r="CD180">
            <v>0.26729999999999998</v>
          </cell>
          <cell r="CE180">
            <v>436.44970000000001</v>
          </cell>
          <cell r="CF180">
            <v>0.19259999999999999</v>
          </cell>
          <cell r="CG180">
            <v>1.8E-3</v>
          </cell>
          <cell r="CH180">
            <v>3.8E-3</v>
          </cell>
          <cell r="CI180">
            <v>6.4000000000000003E-3</v>
          </cell>
          <cell r="CJ180">
            <v>1.8E-3</v>
          </cell>
        </row>
        <row r="181">
          <cell r="BQ181">
            <v>37</v>
          </cell>
          <cell r="BR181">
            <v>5.5864000000000003</v>
          </cell>
          <cell r="BS181">
            <v>1103.6886</v>
          </cell>
          <cell r="BT181">
            <v>1.1514</v>
          </cell>
          <cell r="BU181">
            <v>0.01</v>
          </cell>
          <cell r="BV181">
            <v>8.6999999999999994E-3</v>
          </cell>
          <cell r="BW181">
            <v>4.87E-2</v>
          </cell>
          <cell r="BX181">
            <v>0.01</v>
          </cell>
          <cell r="CC181">
            <v>37</v>
          </cell>
          <cell r="CD181">
            <v>0.2571</v>
          </cell>
          <cell r="CE181">
            <v>442.04880000000003</v>
          </cell>
          <cell r="CF181">
            <v>0.19020000000000001</v>
          </cell>
          <cell r="CG181">
            <v>1.9E-3</v>
          </cell>
          <cell r="CH181">
            <v>3.8999999999999998E-3</v>
          </cell>
          <cell r="CI181">
            <v>6.4000000000000003E-3</v>
          </cell>
          <cell r="CJ181">
            <v>1.9E-3</v>
          </cell>
        </row>
        <row r="182">
          <cell r="BQ182">
            <v>38</v>
          </cell>
          <cell r="BR182">
            <v>5.3888999999999996</v>
          </cell>
          <cell r="BS182">
            <v>1091.5409999999999</v>
          </cell>
          <cell r="BT182">
            <v>1.1445000000000001</v>
          </cell>
          <cell r="BU182">
            <v>1.01E-2</v>
          </cell>
          <cell r="BV182">
            <v>8.6999999999999994E-3</v>
          </cell>
          <cell r="BW182">
            <v>4.7600000000000003E-2</v>
          </cell>
          <cell r="BX182">
            <v>1.01E-2</v>
          </cell>
          <cell r="CC182">
            <v>38</v>
          </cell>
          <cell r="CD182">
            <v>0.24729999999999999</v>
          </cell>
          <cell r="CE182">
            <v>447.71980000000002</v>
          </cell>
          <cell r="CF182">
            <v>0.18770000000000001</v>
          </cell>
          <cell r="CG182">
            <v>2E-3</v>
          </cell>
          <cell r="CH182">
            <v>3.8999999999999998E-3</v>
          </cell>
          <cell r="CI182">
            <v>6.3E-3</v>
          </cell>
          <cell r="CJ182">
            <v>2E-3</v>
          </cell>
        </row>
        <row r="183">
          <cell r="BQ183">
            <v>39</v>
          </cell>
          <cell r="BR183">
            <v>5.1982999999999997</v>
          </cell>
          <cell r="BS183">
            <v>1079.5271</v>
          </cell>
          <cell r="BT183">
            <v>1.1375999999999999</v>
          </cell>
          <cell r="BU183">
            <v>1.0200000000000001E-2</v>
          </cell>
          <cell r="BV183">
            <v>8.6999999999999994E-3</v>
          </cell>
          <cell r="BW183">
            <v>4.6600000000000003E-2</v>
          </cell>
          <cell r="BX183">
            <v>1.0200000000000001E-2</v>
          </cell>
          <cell r="CC183">
            <v>39</v>
          </cell>
          <cell r="CD183">
            <v>0.23780000000000001</v>
          </cell>
          <cell r="CE183">
            <v>453.46339999999998</v>
          </cell>
          <cell r="CF183">
            <v>0.18540000000000001</v>
          </cell>
          <cell r="CG183">
            <v>2.0999999999999999E-3</v>
          </cell>
          <cell r="CH183">
            <v>4.0000000000000001E-3</v>
          </cell>
          <cell r="CI183">
            <v>6.3E-3</v>
          </cell>
          <cell r="CJ183">
            <v>2.0999999999999999E-3</v>
          </cell>
        </row>
        <row r="184">
          <cell r="BQ184">
            <v>40</v>
          </cell>
          <cell r="BR184">
            <v>5.0145</v>
          </cell>
          <cell r="BS184">
            <v>1067.6455000000001</v>
          </cell>
          <cell r="BT184">
            <v>1.1308</v>
          </cell>
          <cell r="BU184">
            <v>1.03E-2</v>
          </cell>
          <cell r="BV184">
            <v>8.6999999999999994E-3</v>
          </cell>
          <cell r="BW184">
            <v>4.5499999999999999E-2</v>
          </cell>
          <cell r="BX184">
            <v>1.03E-2</v>
          </cell>
          <cell r="CC184">
            <v>40</v>
          </cell>
          <cell r="CD184">
            <v>0.2288</v>
          </cell>
          <cell r="CE184">
            <v>459.2808</v>
          </cell>
          <cell r="CF184">
            <v>0.183</v>
          </cell>
          <cell r="CG184">
            <v>2.2000000000000001E-3</v>
          </cell>
          <cell r="CH184">
            <v>4.1000000000000003E-3</v>
          </cell>
          <cell r="CI184">
            <v>6.1999999999999998E-3</v>
          </cell>
          <cell r="CJ184">
            <v>2.2000000000000001E-3</v>
          </cell>
        </row>
        <row r="185">
          <cell r="BQ185">
            <v>41</v>
          </cell>
          <cell r="BR185">
            <v>4.8803999999999998</v>
          </cell>
          <cell r="BS185">
            <v>1062.5605</v>
          </cell>
          <cell r="BT185">
            <v>1.1354</v>
          </cell>
          <cell r="BU185">
            <v>1.04E-2</v>
          </cell>
          <cell r="BV185">
            <v>8.6999999999999994E-3</v>
          </cell>
          <cell r="BW185">
            <v>4.4600000000000001E-2</v>
          </cell>
          <cell r="BX185">
            <v>1.04E-2</v>
          </cell>
          <cell r="CC185">
            <v>41</v>
          </cell>
          <cell r="CD185">
            <v>0.2233</v>
          </cell>
          <cell r="CE185">
            <v>464.4658</v>
          </cell>
          <cell r="CF185">
            <v>0.1794</v>
          </cell>
          <cell r="CG185">
            <v>2.2000000000000001E-3</v>
          </cell>
          <cell r="CH185">
            <v>4.1000000000000003E-3</v>
          </cell>
          <cell r="CI185">
            <v>6.1000000000000004E-3</v>
          </cell>
          <cell r="CJ185">
            <v>2.2000000000000001E-3</v>
          </cell>
        </row>
        <row r="186">
          <cell r="BQ186">
            <v>42</v>
          </cell>
          <cell r="BR186">
            <v>4.7499000000000002</v>
          </cell>
          <cell r="BS186">
            <v>1057.4997000000001</v>
          </cell>
          <cell r="BT186">
            <v>1.1398999999999999</v>
          </cell>
          <cell r="BU186">
            <v>1.0500000000000001E-2</v>
          </cell>
          <cell r="BV186">
            <v>8.6999999999999994E-3</v>
          </cell>
          <cell r="BW186">
            <v>4.36E-2</v>
          </cell>
          <cell r="BX186">
            <v>1.0500000000000001E-2</v>
          </cell>
          <cell r="CC186">
            <v>42</v>
          </cell>
          <cell r="CD186">
            <v>0.21790000000000001</v>
          </cell>
          <cell r="CE186">
            <v>469.70920000000001</v>
          </cell>
          <cell r="CF186">
            <v>0.1759</v>
          </cell>
          <cell r="CG186">
            <v>2.3E-3</v>
          </cell>
          <cell r="CH186">
            <v>4.1999999999999997E-3</v>
          </cell>
          <cell r="CI186">
            <v>6.0000000000000001E-3</v>
          </cell>
          <cell r="CJ186">
            <v>2.3E-3</v>
          </cell>
        </row>
        <row r="187">
          <cell r="BQ187">
            <v>43</v>
          </cell>
          <cell r="BR187">
            <v>4.6228999999999996</v>
          </cell>
          <cell r="BS187">
            <v>1052.463</v>
          </cell>
          <cell r="BT187">
            <v>1.1446000000000001</v>
          </cell>
          <cell r="BU187">
            <v>1.0500000000000001E-2</v>
          </cell>
          <cell r="BV187">
            <v>8.6999999999999994E-3</v>
          </cell>
          <cell r="BW187">
            <v>4.2700000000000002E-2</v>
          </cell>
          <cell r="BX187">
            <v>1.0500000000000001E-2</v>
          </cell>
          <cell r="CC187">
            <v>43</v>
          </cell>
          <cell r="CD187">
            <v>0.2127</v>
          </cell>
          <cell r="CE187">
            <v>475.01190000000003</v>
          </cell>
          <cell r="CF187">
            <v>0.1724</v>
          </cell>
          <cell r="CG187">
            <v>2.3999999999999998E-3</v>
          </cell>
          <cell r="CH187">
            <v>4.1999999999999997E-3</v>
          </cell>
          <cell r="CI187">
            <v>5.8999999999999999E-3</v>
          </cell>
          <cell r="CJ187">
            <v>2.3999999999999998E-3</v>
          </cell>
        </row>
        <row r="188">
          <cell r="BQ188">
            <v>44</v>
          </cell>
          <cell r="BR188">
            <v>4.4992999999999999</v>
          </cell>
          <cell r="BS188">
            <v>1047.4503</v>
          </cell>
          <cell r="BT188">
            <v>1.1492</v>
          </cell>
          <cell r="BU188">
            <v>1.06E-2</v>
          </cell>
          <cell r="BV188">
            <v>8.6999999999999994E-3</v>
          </cell>
          <cell r="BW188">
            <v>4.1799999999999997E-2</v>
          </cell>
          <cell r="BX188">
            <v>1.06E-2</v>
          </cell>
          <cell r="CC188">
            <v>44</v>
          </cell>
          <cell r="CD188">
            <v>0.20760000000000001</v>
          </cell>
          <cell r="CE188">
            <v>480.37439999999998</v>
          </cell>
          <cell r="CF188">
            <v>0.1691</v>
          </cell>
          <cell r="CG188">
            <v>2.5000000000000001E-3</v>
          </cell>
          <cell r="CH188">
            <v>4.3E-3</v>
          </cell>
          <cell r="CI188">
            <v>5.8999999999999999E-3</v>
          </cell>
          <cell r="CJ188">
            <v>2.5000000000000001E-3</v>
          </cell>
        </row>
        <row r="189">
          <cell r="BQ189">
            <v>45</v>
          </cell>
          <cell r="BR189">
            <v>4.3791000000000002</v>
          </cell>
          <cell r="BS189">
            <v>1042.4614999999999</v>
          </cell>
          <cell r="BT189">
            <v>1.1537999999999999</v>
          </cell>
          <cell r="BU189">
            <v>1.06E-2</v>
          </cell>
          <cell r="BV189">
            <v>8.8000000000000005E-3</v>
          </cell>
          <cell r="BW189">
            <v>4.0899999999999999E-2</v>
          </cell>
          <cell r="BX189">
            <v>1.06E-2</v>
          </cell>
          <cell r="CC189">
            <v>45</v>
          </cell>
          <cell r="CD189">
            <v>0.2026</v>
          </cell>
          <cell r="CE189">
            <v>485.79750000000001</v>
          </cell>
          <cell r="CF189">
            <v>0.16569999999999999</v>
          </cell>
          <cell r="CG189">
            <v>2.5999999999999999E-3</v>
          </cell>
          <cell r="CH189">
            <v>4.4000000000000003E-3</v>
          </cell>
          <cell r="CI189">
            <v>5.7999999999999996E-3</v>
          </cell>
          <cell r="CJ189">
            <v>2.5999999999999999E-3</v>
          </cell>
        </row>
        <row r="190">
          <cell r="BQ190">
            <v>46</v>
          </cell>
          <cell r="BR190">
            <v>4.3262</v>
          </cell>
          <cell r="BS190">
            <v>1046.1259</v>
          </cell>
          <cell r="BT190">
            <v>1.1439999999999999</v>
          </cell>
          <cell r="BU190">
            <v>1.0500000000000001E-2</v>
          </cell>
          <cell r="BV190">
            <v>8.8000000000000005E-3</v>
          </cell>
          <cell r="BW190">
            <v>4.0099999999999997E-2</v>
          </cell>
          <cell r="BX190">
            <v>1.0500000000000001E-2</v>
          </cell>
          <cell r="CC190">
            <v>46</v>
          </cell>
          <cell r="CD190">
            <v>0.20119999999999999</v>
          </cell>
          <cell r="CE190">
            <v>489.00839999999999</v>
          </cell>
          <cell r="CF190">
            <v>0.1615</v>
          </cell>
          <cell r="CG190">
            <v>2.5999999999999999E-3</v>
          </cell>
          <cell r="CH190">
            <v>4.4000000000000003E-3</v>
          </cell>
          <cell r="CI190">
            <v>5.7000000000000002E-3</v>
          </cell>
          <cell r="CJ190">
            <v>2.5999999999999999E-3</v>
          </cell>
        </row>
        <row r="191">
          <cell r="BQ191">
            <v>47</v>
          </cell>
          <cell r="BR191">
            <v>4.274</v>
          </cell>
          <cell r="BS191">
            <v>1049.8033</v>
          </cell>
          <cell r="BT191">
            <v>1.1342000000000001</v>
          </cell>
          <cell r="BU191">
            <v>1.04E-2</v>
          </cell>
          <cell r="BV191">
            <v>8.8999999999999999E-3</v>
          </cell>
          <cell r="BW191">
            <v>3.9199999999999999E-2</v>
          </cell>
          <cell r="BX191">
            <v>1.04E-2</v>
          </cell>
          <cell r="CC191">
            <v>47</v>
          </cell>
          <cell r="CD191">
            <v>0.19969999999999999</v>
          </cell>
          <cell r="CE191">
            <v>492.24059999999997</v>
          </cell>
          <cell r="CF191">
            <v>0.1573</v>
          </cell>
          <cell r="CG191">
            <v>2.7000000000000001E-3</v>
          </cell>
          <cell r="CH191">
            <v>4.4000000000000003E-3</v>
          </cell>
          <cell r="CI191">
            <v>5.5999999999999999E-3</v>
          </cell>
          <cell r="CJ191">
            <v>2.7000000000000001E-3</v>
          </cell>
        </row>
        <row r="192">
          <cell r="BQ192">
            <v>48</v>
          </cell>
          <cell r="BR192">
            <v>4.2222999999999997</v>
          </cell>
          <cell r="BS192">
            <v>1053.4936</v>
          </cell>
          <cell r="BT192">
            <v>1.1245000000000001</v>
          </cell>
          <cell r="BU192">
            <v>1.03E-2</v>
          </cell>
          <cell r="BV192">
            <v>8.8999999999999999E-3</v>
          </cell>
          <cell r="BW192">
            <v>3.8399999999999997E-2</v>
          </cell>
          <cell r="BX192">
            <v>1.03E-2</v>
          </cell>
          <cell r="CC192">
            <v>48</v>
          </cell>
          <cell r="CD192">
            <v>0.1983</v>
          </cell>
          <cell r="CE192">
            <v>495.49419999999998</v>
          </cell>
          <cell r="CF192">
            <v>0.1532</v>
          </cell>
          <cell r="CG192">
            <v>2.8E-3</v>
          </cell>
          <cell r="CH192">
            <v>4.4999999999999997E-3</v>
          </cell>
          <cell r="CI192">
            <v>5.4999999999999997E-3</v>
          </cell>
          <cell r="CJ192">
            <v>2.8E-3</v>
          </cell>
        </row>
        <row r="193">
          <cell r="BQ193">
            <v>49</v>
          </cell>
          <cell r="BR193">
            <v>4.1714000000000002</v>
          </cell>
          <cell r="BS193">
            <v>1057.1968999999999</v>
          </cell>
          <cell r="BT193">
            <v>1.1148</v>
          </cell>
          <cell r="BU193">
            <v>1.01E-2</v>
          </cell>
          <cell r="BV193">
            <v>8.9999999999999993E-3</v>
          </cell>
          <cell r="BW193">
            <v>3.7699999999999997E-2</v>
          </cell>
          <cell r="BX193">
            <v>1.01E-2</v>
          </cell>
          <cell r="CC193">
            <v>49</v>
          </cell>
          <cell r="CD193">
            <v>0.19689999999999999</v>
          </cell>
          <cell r="CE193">
            <v>498.76929999999999</v>
          </cell>
          <cell r="CF193">
            <v>0.14929999999999999</v>
          </cell>
          <cell r="CG193">
            <v>2.8E-3</v>
          </cell>
          <cell r="CH193">
            <v>4.4999999999999997E-3</v>
          </cell>
          <cell r="CI193">
            <v>5.4000000000000003E-3</v>
          </cell>
          <cell r="CJ193">
            <v>2.8E-3</v>
          </cell>
        </row>
        <row r="194">
          <cell r="BQ194">
            <v>50</v>
          </cell>
          <cell r="BR194">
            <v>4.1210000000000004</v>
          </cell>
          <cell r="BS194">
            <v>1060.9131</v>
          </cell>
          <cell r="BT194">
            <v>1.1052999999999999</v>
          </cell>
          <cell r="BU194">
            <v>0.01</v>
          </cell>
          <cell r="BV194">
            <v>8.9999999999999993E-3</v>
          </cell>
          <cell r="BW194">
            <v>3.6900000000000002E-2</v>
          </cell>
          <cell r="BX194">
            <v>0.01</v>
          </cell>
          <cell r="CC194">
            <v>50</v>
          </cell>
          <cell r="CD194">
            <v>0.19550000000000001</v>
          </cell>
          <cell r="CE194">
            <v>502.06599999999997</v>
          </cell>
          <cell r="CF194">
            <v>0.1454</v>
          </cell>
          <cell r="CG194">
            <v>2.8999999999999998E-3</v>
          </cell>
          <cell r="CH194">
            <v>4.4999999999999997E-3</v>
          </cell>
          <cell r="CI194">
            <v>5.4000000000000003E-3</v>
          </cell>
          <cell r="CJ194">
            <v>2.8999999999999998E-3</v>
          </cell>
        </row>
        <row r="195">
          <cell r="BQ195">
            <v>51</v>
          </cell>
          <cell r="BR195">
            <v>4.0545</v>
          </cell>
          <cell r="BS195">
            <v>1079.6318000000001</v>
          </cell>
          <cell r="BT195">
            <v>1.1102000000000001</v>
          </cell>
          <cell r="BU195">
            <v>1.0200000000000001E-2</v>
          </cell>
          <cell r="BV195">
            <v>9.1999999999999998E-3</v>
          </cell>
          <cell r="BW195">
            <v>3.7100000000000001E-2</v>
          </cell>
          <cell r="BX195">
            <v>1.0200000000000001E-2</v>
          </cell>
          <cell r="CC195">
            <v>51</v>
          </cell>
          <cell r="CD195">
            <v>0.19739999999999999</v>
          </cell>
          <cell r="CE195">
            <v>514.7106</v>
          </cell>
          <cell r="CF195">
            <v>0.1497</v>
          </cell>
          <cell r="CG195">
            <v>3.0999999999999999E-3</v>
          </cell>
          <cell r="CH195">
            <v>4.7000000000000002E-3</v>
          </cell>
          <cell r="CI195">
            <v>5.4000000000000003E-3</v>
          </cell>
          <cell r="CJ195">
            <v>3.0999999999999999E-3</v>
          </cell>
        </row>
        <row r="196">
          <cell r="BQ196">
            <v>52</v>
          </cell>
          <cell r="BR196">
            <v>3.9891000000000001</v>
          </cell>
          <cell r="BS196">
            <v>1098.6808000000001</v>
          </cell>
          <cell r="BT196">
            <v>1.115</v>
          </cell>
          <cell r="BU196">
            <v>1.04E-2</v>
          </cell>
          <cell r="BV196">
            <v>9.4000000000000004E-3</v>
          </cell>
          <cell r="BW196">
            <v>3.73E-2</v>
          </cell>
          <cell r="BX196">
            <v>1.04E-2</v>
          </cell>
          <cell r="CC196">
            <v>52</v>
          </cell>
          <cell r="CD196">
            <v>0.19950000000000001</v>
          </cell>
          <cell r="CE196">
            <v>527.67370000000005</v>
          </cell>
          <cell r="CF196">
            <v>0.154</v>
          </cell>
          <cell r="CG196">
            <v>3.3E-3</v>
          </cell>
          <cell r="CH196">
            <v>4.7999999999999996E-3</v>
          </cell>
          <cell r="CI196">
            <v>5.4999999999999997E-3</v>
          </cell>
          <cell r="CJ196">
            <v>3.3E-3</v>
          </cell>
        </row>
        <row r="197">
          <cell r="BQ197">
            <v>53</v>
          </cell>
          <cell r="BR197">
            <v>3.9247999999999998</v>
          </cell>
          <cell r="BS197">
            <v>1118.0659000000001</v>
          </cell>
          <cell r="BT197">
            <v>1.1198999999999999</v>
          </cell>
          <cell r="BU197">
            <v>1.0500000000000001E-2</v>
          </cell>
          <cell r="BV197">
            <v>9.5999999999999992E-3</v>
          </cell>
          <cell r="BW197">
            <v>3.7400000000000003E-2</v>
          </cell>
          <cell r="BX197">
            <v>1.0500000000000001E-2</v>
          </cell>
          <cell r="CC197">
            <v>53</v>
          </cell>
          <cell r="CD197">
            <v>0.20150000000000001</v>
          </cell>
          <cell r="CE197">
            <v>540.9633</v>
          </cell>
          <cell r="CF197">
            <v>0.1585</v>
          </cell>
          <cell r="CG197">
            <v>3.5000000000000001E-3</v>
          </cell>
          <cell r="CH197">
            <v>4.8999999999999998E-3</v>
          </cell>
          <cell r="CI197">
            <v>5.5999999999999999E-3</v>
          </cell>
          <cell r="CJ197">
            <v>3.5000000000000001E-3</v>
          </cell>
        </row>
        <row r="198">
          <cell r="BQ198">
            <v>54</v>
          </cell>
          <cell r="BR198">
            <v>3.8614999999999999</v>
          </cell>
          <cell r="BS198">
            <v>1137.7928999999999</v>
          </cell>
          <cell r="BT198">
            <v>1.1249</v>
          </cell>
          <cell r="BU198">
            <v>1.0699999999999999E-2</v>
          </cell>
          <cell r="BV198">
            <v>9.7999999999999997E-3</v>
          </cell>
          <cell r="BW198">
            <v>3.7600000000000001E-2</v>
          </cell>
          <cell r="BX198">
            <v>1.0699999999999999E-2</v>
          </cell>
          <cell r="CC198">
            <v>54</v>
          </cell>
          <cell r="CD198">
            <v>0.2036</v>
          </cell>
          <cell r="CE198">
            <v>554.58759999999995</v>
          </cell>
          <cell r="CF198">
            <v>0.16320000000000001</v>
          </cell>
          <cell r="CG198">
            <v>3.7000000000000002E-3</v>
          </cell>
          <cell r="CH198">
            <v>5.0000000000000001E-3</v>
          </cell>
          <cell r="CI198">
            <v>5.7000000000000002E-3</v>
          </cell>
          <cell r="CJ198">
            <v>3.7000000000000002E-3</v>
          </cell>
        </row>
        <row r="199">
          <cell r="BQ199">
            <v>55</v>
          </cell>
          <cell r="BR199">
            <v>3.7991999999999999</v>
          </cell>
          <cell r="BS199">
            <v>1157.8680999999999</v>
          </cell>
          <cell r="BT199">
            <v>1.1297999999999999</v>
          </cell>
          <cell r="BU199">
            <v>1.09E-2</v>
          </cell>
          <cell r="BV199">
            <v>1.01E-2</v>
          </cell>
          <cell r="BW199">
            <v>3.78E-2</v>
          </cell>
          <cell r="BX199">
            <v>1.09E-2</v>
          </cell>
          <cell r="CC199">
            <v>55</v>
          </cell>
          <cell r="CD199">
            <v>0.2056</v>
          </cell>
          <cell r="CE199">
            <v>568.55499999999995</v>
          </cell>
          <cell r="CF199">
            <v>0.16800000000000001</v>
          </cell>
          <cell r="CG199">
            <v>3.8999999999999998E-3</v>
          </cell>
          <cell r="CH199">
            <v>5.1999999999999998E-3</v>
          </cell>
          <cell r="CI199">
            <v>5.7999999999999996E-3</v>
          </cell>
          <cell r="CJ199">
            <v>3.8999999999999998E-3</v>
          </cell>
        </row>
        <row r="200">
          <cell r="BQ200">
            <v>56</v>
          </cell>
          <cell r="BR200">
            <v>3.6829999999999998</v>
          </cell>
          <cell r="BS200">
            <v>1184.1948</v>
          </cell>
          <cell r="BT200">
            <v>1.1318999999999999</v>
          </cell>
          <cell r="BU200">
            <v>1.1299999999999999E-2</v>
          </cell>
          <cell r="BV200">
            <v>1.03E-2</v>
          </cell>
          <cell r="BW200">
            <v>3.7999999999999999E-2</v>
          </cell>
          <cell r="BX200">
            <v>1.1299999999999999E-2</v>
          </cell>
          <cell r="CC200">
            <v>56</v>
          </cell>
          <cell r="CD200">
            <v>0.19969999999999999</v>
          </cell>
          <cell r="CE200">
            <v>594.13630000000001</v>
          </cell>
          <cell r="CF200">
            <v>0.18210000000000001</v>
          </cell>
          <cell r="CG200">
            <v>4.4000000000000003E-3</v>
          </cell>
          <cell r="CH200">
            <v>5.4000000000000003E-3</v>
          </cell>
          <cell r="CI200">
            <v>6.0000000000000001E-3</v>
          </cell>
          <cell r="CJ200">
            <v>4.4000000000000003E-3</v>
          </cell>
        </row>
        <row r="201">
          <cell r="BQ201">
            <v>57</v>
          </cell>
          <cell r="BR201">
            <v>3.5703</v>
          </cell>
          <cell r="BS201">
            <v>1211.1202000000001</v>
          </cell>
          <cell r="BT201">
            <v>1.1338999999999999</v>
          </cell>
          <cell r="BU201">
            <v>1.17E-2</v>
          </cell>
          <cell r="BV201">
            <v>1.06E-2</v>
          </cell>
          <cell r="BW201">
            <v>3.8199999999999998E-2</v>
          </cell>
          <cell r="BX201">
            <v>1.17E-2</v>
          </cell>
          <cell r="CC201">
            <v>57</v>
          </cell>
          <cell r="CD201">
            <v>0.19400000000000001</v>
          </cell>
          <cell r="CE201">
            <v>620.86860000000001</v>
          </cell>
          <cell r="CF201">
            <v>0.19750000000000001</v>
          </cell>
          <cell r="CG201">
            <v>4.7999999999999996E-3</v>
          </cell>
          <cell r="CH201">
            <v>5.7000000000000002E-3</v>
          </cell>
          <cell r="CI201">
            <v>6.1999999999999998E-3</v>
          </cell>
          <cell r="CJ201">
            <v>4.7999999999999996E-3</v>
          </cell>
        </row>
        <row r="202">
          <cell r="BQ202">
            <v>58</v>
          </cell>
          <cell r="BR202">
            <v>3.4611000000000001</v>
          </cell>
          <cell r="BS202">
            <v>1238.6578</v>
          </cell>
          <cell r="BT202">
            <v>1.1359999999999999</v>
          </cell>
          <cell r="BU202">
            <v>1.21E-2</v>
          </cell>
          <cell r="BV202">
            <v>1.09E-2</v>
          </cell>
          <cell r="BW202">
            <v>3.8399999999999997E-2</v>
          </cell>
          <cell r="BX202">
            <v>1.21E-2</v>
          </cell>
          <cell r="CC202">
            <v>58</v>
          </cell>
          <cell r="CD202">
            <v>0.1885</v>
          </cell>
          <cell r="CE202">
            <v>648.80370000000005</v>
          </cell>
          <cell r="CF202">
            <v>0.21410000000000001</v>
          </cell>
          <cell r="CG202">
            <v>5.3E-3</v>
          </cell>
          <cell r="CH202">
            <v>5.8999999999999999E-3</v>
          </cell>
          <cell r="CI202">
            <v>6.4999999999999997E-3</v>
          </cell>
          <cell r="CJ202">
            <v>5.3E-3</v>
          </cell>
        </row>
        <row r="203">
          <cell r="BQ203">
            <v>59</v>
          </cell>
          <cell r="BR203">
            <v>3.3552</v>
          </cell>
          <cell r="BS203">
            <v>1266.8214</v>
          </cell>
          <cell r="BT203">
            <v>1.1379999999999999</v>
          </cell>
          <cell r="BU203">
            <v>1.2500000000000001E-2</v>
          </cell>
          <cell r="BV203">
            <v>1.1299999999999999E-2</v>
          </cell>
          <cell r="BW203">
            <v>3.8600000000000002E-2</v>
          </cell>
          <cell r="BX203">
            <v>1.2500000000000001E-2</v>
          </cell>
          <cell r="CC203">
            <v>59</v>
          </cell>
          <cell r="CD203">
            <v>0.18310000000000001</v>
          </cell>
          <cell r="CE203">
            <v>677.99570000000006</v>
          </cell>
          <cell r="CF203">
            <v>0.2321</v>
          </cell>
          <cell r="CG203">
            <v>5.8999999999999999E-3</v>
          </cell>
          <cell r="CH203">
            <v>6.1999999999999998E-3</v>
          </cell>
          <cell r="CI203">
            <v>6.7000000000000002E-3</v>
          </cell>
          <cell r="CJ203">
            <v>5.8999999999999999E-3</v>
          </cell>
        </row>
        <row r="204">
          <cell r="BQ204">
            <v>60</v>
          </cell>
          <cell r="BR204">
            <v>3.2524999999999999</v>
          </cell>
          <cell r="BS204">
            <v>1295.6255000000001</v>
          </cell>
          <cell r="BT204">
            <v>1.1400999999999999</v>
          </cell>
          <cell r="BU204">
            <v>1.2999999999999999E-2</v>
          </cell>
          <cell r="BV204">
            <v>1.1599999999999999E-2</v>
          </cell>
          <cell r="BW204">
            <v>3.8800000000000001E-2</v>
          </cell>
          <cell r="BX204">
            <v>1.2999999999999999E-2</v>
          </cell>
          <cell r="CC204">
            <v>60</v>
          </cell>
          <cell r="CD204">
            <v>0.17780000000000001</v>
          </cell>
          <cell r="CE204">
            <v>708.50120000000004</v>
          </cell>
          <cell r="CF204">
            <v>0.25169999999999998</v>
          </cell>
          <cell r="CG204">
            <v>6.4999999999999997E-3</v>
          </cell>
          <cell r="CH204">
            <v>6.4999999999999997E-3</v>
          </cell>
          <cell r="CI204">
            <v>7.0000000000000001E-3</v>
          </cell>
          <cell r="CJ204">
            <v>6.4999999999999997E-3</v>
          </cell>
        </row>
        <row r="205">
          <cell r="BQ205">
            <v>61</v>
          </cell>
          <cell r="BR205">
            <v>3.1682000000000001</v>
          </cell>
          <cell r="BS205">
            <v>1321.8235</v>
          </cell>
          <cell r="BT205">
            <v>1.1445000000000001</v>
          </cell>
          <cell r="BU205">
            <v>1.35E-2</v>
          </cell>
          <cell r="BV205">
            <v>1.1900000000000001E-2</v>
          </cell>
          <cell r="BW205">
            <v>3.9300000000000002E-2</v>
          </cell>
          <cell r="BX205">
            <v>1.35E-2</v>
          </cell>
          <cell r="CC205">
            <v>61</v>
          </cell>
          <cell r="CD205">
            <v>0.17460000000000001</v>
          </cell>
          <cell r="CE205">
            <v>731.12099999999998</v>
          </cell>
          <cell r="CF205">
            <v>0.27350000000000002</v>
          </cell>
          <cell r="CG205">
            <v>7.1000000000000004E-3</v>
          </cell>
          <cell r="CH205">
            <v>6.7999999999999996E-3</v>
          </cell>
          <cell r="CI205">
            <v>7.1999999999999998E-3</v>
          </cell>
          <cell r="CJ205">
            <v>7.1000000000000004E-3</v>
          </cell>
        </row>
        <row r="206">
          <cell r="BQ206">
            <v>62</v>
          </cell>
          <cell r="BR206">
            <v>3.0859999999999999</v>
          </cell>
          <cell r="BS206">
            <v>1348.5512000000001</v>
          </cell>
          <cell r="BT206">
            <v>1.149</v>
          </cell>
          <cell r="BU206">
            <v>1.3899999999999999E-2</v>
          </cell>
          <cell r="BV206">
            <v>1.2200000000000001E-2</v>
          </cell>
          <cell r="BW206">
            <v>3.9699999999999999E-2</v>
          </cell>
          <cell r="BX206">
            <v>1.3899999999999999E-2</v>
          </cell>
          <cell r="CC206">
            <v>62</v>
          </cell>
          <cell r="CD206">
            <v>0.17150000000000001</v>
          </cell>
          <cell r="CE206">
            <v>754.46299999999997</v>
          </cell>
          <cell r="CF206">
            <v>0.29709999999999998</v>
          </cell>
          <cell r="CG206">
            <v>7.7000000000000002E-3</v>
          </cell>
          <cell r="CH206">
            <v>7.0000000000000001E-3</v>
          </cell>
          <cell r="CI206">
            <v>7.4999999999999997E-3</v>
          </cell>
          <cell r="CJ206">
            <v>7.7000000000000002E-3</v>
          </cell>
        </row>
        <row r="207">
          <cell r="BQ207">
            <v>63</v>
          </cell>
          <cell r="BR207">
            <v>3.0059999999999998</v>
          </cell>
          <cell r="BS207">
            <v>1375.8194000000001</v>
          </cell>
          <cell r="BT207">
            <v>1.1535</v>
          </cell>
          <cell r="BU207">
            <v>1.44E-2</v>
          </cell>
          <cell r="BV207">
            <v>1.2500000000000001E-2</v>
          </cell>
          <cell r="BW207">
            <v>4.02E-2</v>
          </cell>
          <cell r="BX207">
            <v>1.44E-2</v>
          </cell>
          <cell r="CC207">
            <v>63</v>
          </cell>
          <cell r="CD207">
            <v>0.16839999999999999</v>
          </cell>
          <cell r="CE207">
            <v>778.55029999999999</v>
          </cell>
          <cell r="CF207">
            <v>0.32279999999999998</v>
          </cell>
          <cell r="CG207">
            <v>8.3999999999999995E-3</v>
          </cell>
          <cell r="CH207">
            <v>7.1999999999999998E-3</v>
          </cell>
          <cell r="CI207">
            <v>7.7999999999999996E-3</v>
          </cell>
          <cell r="CJ207">
            <v>8.3999999999999995E-3</v>
          </cell>
        </row>
        <row r="208">
          <cell r="BQ208">
            <v>64</v>
          </cell>
          <cell r="BR208">
            <v>2.9279999999999999</v>
          </cell>
          <cell r="BS208">
            <v>1403.6388999999999</v>
          </cell>
          <cell r="BT208">
            <v>1.1579999999999999</v>
          </cell>
          <cell r="BU208">
            <v>1.49E-2</v>
          </cell>
          <cell r="BV208">
            <v>1.2800000000000001E-2</v>
          </cell>
          <cell r="BW208">
            <v>4.07E-2</v>
          </cell>
          <cell r="BX208">
            <v>1.49E-2</v>
          </cell>
          <cell r="CC208">
            <v>64</v>
          </cell>
          <cell r="CD208">
            <v>0.16539999999999999</v>
          </cell>
          <cell r="CE208">
            <v>803.40650000000005</v>
          </cell>
          <cell r="CF208">
            <v>0.3508</v>
          </cell>
          <cell r="CG208">
            <v>9.1000000000000004E-3</v>
          </cell>
          <cell r="CH208">
            <v>7.4999999999999997E-3</v>
          </cell>
          <cell r="CI208">
            <v>8.0999999999999996E-3</v>
          </cell>
          <cell r="CJ208">
            <v>9.1000000000000004E-3</v>
          </cell>
        </row>
        <row r="209">
          <cell r="BQ209">
            <v>65</v>
          </cell>
          <cell r="BR209">
            <v>2.8521000000000001</v>
          </cell>
          <cell r="BS209">
            <v>1432.0209</v>
          </cell>
          <cell r="BT209">
            <v>1.1625000000000001</v>
          </cell>
          <cell r="BU209">
            <v>1.54E-2</v>
          </cell>
          <cell r="BV209">
            <v>1.3100000000000001E-2</v>
          </cell>
          <cell r="BW209">
            <v>4.1200000000000001E-2</v>
          </cell>
          <cell r="BX209">
            <v>1.54E-2</v>
          </cell>
          <cell r="CC209">
            <v>65</v>
          </cell>
          <cell r="CD209">
            <v>0.16239999999999999</v>
          </cell>
          <cell r="CE209">
            <v>829.05629999999996</v>
          </cell>
          <cell r="CF209">
            <v>0.38109999999999999</v>
          </cell>
          <cell r="CG209">
            <v>9.9000000000000008E-3</v>
          </cell>
          <cell r="CH209">
            <v>7.7999999999999996E-3</v>
          </cell>
          <cell r="CI209">
            <v>8.3999999999999995E-3</v>
          </cell>
          <cell r="CJ209">
            <v>9.9000000000000008E-3</v>
          </cell>
        </row>
        <row r="210">
          <cell r="BQ210">
            <v>66</v>
          </cell>
          <cell r="BR210">
            <v>2.7292999999999998</v>
          </cell>
          <cell r="BS210">
            <v>1425.6288</v>
          </cell>
          <cell r="BT210">
            <v>1.1936</v>
          </cell>
          <cell r="BU210">
            <v>1.6500000000000001E-2</v>
          </cell>
          <cell r="BV210">
            <v>1.2999999999999999E-2</v>
          </cell>
          <cell r="BW210">
            <v>3.78E-2</v>
          </cell>
          <cell r="BX210">
            <v>1.6500000000000001E-2</v>
          </cell>
          <cell r="CC210">
            <v>66</v>
          </cell>
          <cell r="CD210">
            <v>0.16689999999999999</v>
          </cell>
          <cell r="CE210">
            <v>857.61479999999995</v>
          </cell>
          <cell r="CF210">
            <v>0.4042</v>
          </cell>
          <cell r="CG210">
            <v>1.0699999999999999E-2</v>
          </cell>
          <cell r="CH210">
            <v>8.0000000000000002E-3</v>
          </cell>
          <cell r="CI210">
            <v>8.3000000000000001E-3</v>
          </cell>
          <cell r="CJ210">
            <v>1.0699999999999999E-2</v>
          </cell>
        </row>
        <row r="211">
          <cell r="BQ211">
            <v>67</v>
          </cell>
          <cell r="BR211">
            <v>2.6118999999999999</v>
          </cell>
          <cell r="BS211">
            <v>1419.2653</v>
          </cell>
          <cell r="BT211">
            <v>1.2256</v>
          </cell>
          <cell r="BU211">
            <v>1.7600000000000001E-2</v>
          </cell>
          <cell r="BV211">
            <v>1.29E-2</v>
          </cell>
          <cell r="BW211">
            <v>3.4799999999999998E-2</v>
          </cell>
          <cell r="BX211">
            <v>1.7600000000000001E-2</v>
          </cell>
          <cell r="CC211">
            <v>67</v>
          </cell>
          <cell r="CD211">
            <v>0.17150000000000001</v>
          </cell>
          <cell r="CE211">
            <v>887.15700000000004</v>
          </cell>
          <cell r="CF211">
            <v>0.42880000000000001</v>
          </cell>
          <cell r="CG211">
            <v>1.15E-2</v>
          </cell>
          <cell r="CH211">
            <v>8.3000000000000001E-3</v>
          </cell>
          <cell r="CI211">
            <v>8.2000000000000007E-3</v>
          </cell>
          <cell r="CJ211">
            <v>1.15E-2</v>
          </cell>
        </row>
        <row r="212">
          <cell r="BQ212">
            <v>68</v>
          </cell>
          <cell r="BR212">
            <v>2.4994000000000001</v>
          </cell>
          <cell r="BS212">
            <v>1412.9301</v>
          </cell>
          <cell r="BT212">
            <v>1.2584</v>
          </cell>
          <cell r="BU212">
            <v>1.8800000000000001E-2</v>
          </cell>
          <cell r="BV212">
            <v>1.2800000000000001E-2</v>
          </cell>
          <cell r="BW212">
            <v>3.2000000000000001E-2</v>
          </cell>
          <cell r="BX212">
            <v>1.8800000000000001E-2</v>
          </cell>
          <cell r="CC212">
            <v>68</v>
          </cell>
          <cell r="CD212">
            <v>0.1762</v>
          </cell>
          <cell r="CE212">
            <v>917.71690000000001</v>
          </cell>
          <cell r="CF212">
            <v>0.45479999999999998</v>
          </cell>
          <cell r="CG212">
            <v>1.2500000000000001E-2</v>
          </cell>
          <cell r="CH212">
            <v>8.5000000000000006E-3</v>
          </cell>
          <cell r="CI212">
            <v>8.0999999999999996E-3</v>
          </cell>
          <cell r="CJ212">
            <v>1.2500000000000001E-2</v>
          </cell>
        </row>
        <row r="213">
          <cell r="BQ213">
            <v>69</v>
          </cell>
          <cell r="BR213">
            <v>2.3919000000000001</v>
          </cell>
          <cell r="BS213">
            <v>1406.6232</v>
          </cell>
          <cell r="BT213">
            <v>1.2922</v>
          </cell>
          <cell r="BU213">
            <v>2.01E-2</v>
          </cell>
          <cell r="BV213">
            <v>1.2699999999999999E-2</v>
          </cell>
          <cell r="BW213">
            <v>2.9399999999999999E-2</v>
          </cell>
          <cell r="BX213">
            <v>2.01E-2</v>
          </cell>
          <cell r="CC213">
            <v>69</v>
          </cell>
          <cell r="CD213">
            <v>0.18110000000000001</v>
          </cell>
          <cell r="CE213">
            <v>949.32939999999996</v>
          </cell>
          <cell r="CF213">
            <v>0.4824</v>
          </cell>
          <cell r="CG213">
            <v>1.35E-2</v>
          </cell>
          <cell r="CH213">
            <v>8.8000000000000005E-3</v>
          </cell>
          <cell r="CI213">
            <v>8.0999999999999996E-3</v>
          </cell>
          <cell r="CJ213">
            <v>1.35E-2</v>
          </cell>
        </row>
        <row r="214">
          <cell r="BQ214">
            <v>70</v>
          </cell>
          <cell r="BR214">
            <v>2.2888999999999999</v>
          </cell>
          <cell r="BS214">
            <v>1400.3444999999999</v>
          </cell>
          <cell r="BT214">
            <v>1.3268</v>
          </cell>
          <cell r="BU214">
            <v>2.1499999999999998E-2</v>
          </cell>
          <cell r="BV214">
            <v>1.26E-2</v>
          </cell>
          <cell r="BW214">
            <v>2.7E-2</v>
          </cell>
          <cell r="BX214">
            <v>2.1499999999999998E-2</v>
          </cell>
          <cell r="CC214">
            <v>70</v>
          </cell>
          <cell r="CD214">
            <v>0.18609999999999999</v>
          </cell>
          <cell r="CE214">
            <v>982.03099999999995</v>
          </cell>
          <cell r="CF214">
            <v>0.51160000000000005</v>
          </cell>
          <cell r="CG214">
            <v>1.46E-2</v>
          </cell>
          <cell r="CH214">
            <v>9.1000000000000004E-3</v>
          </cell>
          <cell r="CI214">
            <v>8.0000000000000002E-3</v>
          </cell>
          <cell r="CJ214">
            <v>1.46E-2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www3.epa.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http://data.bls.gov/timeseries/CUSR0000SA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37"/>
  <sheetViews>
    <sheetView tabSelected="1" zoomScaleNormal="100" workbookViewId="0">
      <selection activeCell="B2" sqref="B2:B9"/>
    </sheetView>
    <sheetView topLeftCell="A13" workbookViewId="1">
      <selection activeCell="C24" sqref="C24"/>
    </sheetView>
  </sheetViews>
  <sheetFormatPr defaultColWidth="10.875" defaultRowHeight="15.75" x14ac:dyDescent="0.25"/>
  <cols>
    <col min="1" max="1" width="16" style="2" customWidth="1"/>
    <col min="2" max="2" width="47.5" style="2" customWidth="1"/>
    <col min="3" max="3" width="29.25" style="2" customWidth="1"/>
    <col min="4" max="4" width="15" style="2" customWidth="1"/>
    <col min="5" max="5" width="14.5" style="2" customWidth="1"/>
    <col min="6" max="6" width="13" style="2" customWidth="1"/>
    <col min="7" max="7" width="28.625" style="2" customWidth="1"/>
    <col min="8" max="8" width="13" style="2" customWidth="1"/>
    <col min="9" max="9" width="12.5" style="2" customWidth="1"/>
    <col min="10" max="10" width="13" style="2" customWidth="1"/>
    <col min="11" max="12" width="19" style="2" customWidth="1"/>
    <col min="13" max="13" width="10.875" style="2" customWidth="1"/>
    <col min="14" max="16384" width="10.875" style="2"/>
  </cols>
  <sheetData>
    <row r="1" spans="1:19" x14ac:dyDescent="0.25">
      <c r="B1" s="52" t="s">
        <v>0</v>
      </c>
      <c r="C1" s="768" t="s">
        <v>1</v>
      </c>
      <c r="D1" s="769"/>
      <c r="E1" s="761" t="s">
        <v>2</v>
      </c>
      <c r="F1" s="761"/>
      <c r="G1" s="761" t="s">
        <v>3</v>
      </c>
      <c r="H1" s="761"/>
      <c r="I1" s="761" t="s">
        <v>4</v>
      </c>
      <c r="J1" s="761"/>
      <c r="K1" s="761" t="s">
        <v>5</v>
      </c>
      <c r="L1" s="761"/>
      <c r="M1" s="768" t="s">
        <v>6</v>
      </c>
      <c r="N1" s="769"/>
      <c r="O1" s="1"/>
      <c r="P1" s="1"/>
      <c r="Q1" s="1"/>
      <c r="R1" s="1"/>
      <c r="S1" s="1"/>
    </row>
    <row r="2" spans="1:19" ht="92.25" customHeight="1" x14ac:dyDescent="0.25">
      <c r="B2" s="782" t="s">
        <v>381</v>
      </c>
      <c r="C2" s="782" t="s">
        <v>525</v>
      </c>
      <c r="D2" s="784"/>
      <c r="E2" s="762" t="s">
        <v>14</v>
      </c>
      <c r="F2" s="763"/>
      <c r="G2" s="762" t="s">
        <v>526</v>
      </c>
      <c r="H2" s="770"/>
      <c r="I2" s="762" t="s">
        <v>365</v>
      </c>
      <c r="J2" s="770"/>
      <c r="K2" s="780" t="s">
        <v>368</v>
      </c>
      <c r="L2" s="780"/>
      <c r="M2" s="779" t="s">
        <v>359</v>
      </c>
      <c r="N2" s="783"/>
      <c r="O2" s="1"/>
      <c r="P2" s="1"/>
      <c r="Q2" s="1"/>
      <c r="R2" s="1"/>
      <c r="S2" s="1"/>
    </row>
    <row r="3" spans="1:19" ht="123.75" customHeight="1" x14ac:dyDescent="0.25">
      <c r="B3" s="782"/>
      <c r="C3" s="784"/>
      <c r="D3" s="784"/>
      <c r="E3" s="762" t="s">
        <v>358</v>
      </c>
      <c r="F3" s="763"/>
      <c r="G3" s="762" t="s">
        <v>373</v>
      </c>
      <c r="H3" s="763"/>
      <c r="I3" s="762" t="s">
        <v>375</v>
      </c>
      <c r="J3" s="770"/>
      <c r="K3" s="779" t="s">
        <v>367</v>
      </c>
      <c r="L3" s="778"/>
      <c r="M3" s="779" t="s">
        <v>366</v>
      </c>
      <c r="N3" s="783"/>
      <c r="O3" s="1"/>
      <c r="P3" s="1"/>
      <c r="Q3" s="1"/>
      <c r="R3" s="1"/>
      <c r="S3" s="1"/>
    </row>
    <row r="4" spans="1:19" ht="82.5" customHeight="1" x14ac:dyDescent="0.25">
      <c r="B4" s="782"/>
      <c r="C4" s="784"/>
      <c r="D4" s="784"/>
      <c r="E4" s="762" t="s">
        <v>7</v>
      </c>
      <c r="F4" s="763"/>
      <c r="G4" s="762" t="s">
        <v>373</v>
      </c>
      <c r="H4" s="763"/>
      <c r="I4" s="762" t="s">
        <v>376</v>
      </c>
      <c r="J4" s="770"/>
      <c r="K4" s="781">
        <f>D18</f>
        <v>90795984.861343205</v>
      </c>
      <c r="L4" s="778"/>
      <c r="M4" s="777" t="s">
        <v>8</v>
      </c>
      <c r="N4" s="778"/>
      <c r="O4" s="1"/>
      <c r="P4" s="1"/>
      <c r="Q4" s="1"/>
      <c r="R4" s="1"/>
      <c r="S4" s="1"/>
    </row>
    <row r="5" spans="1:19" ht="35.25" customHeight="1" x14ac:dyDescent="0.25">
      <c r="B5" s="782"/>
      <c r="C5" s="784"/>
      <c r="D5" s="784"/>
      <c r="E5" s="762" t="s">
        <v>360</v>
      </c>
      <c r="F5" s="763"/>
      <c r="G5" s="762" t="s">
        <v>373</v>
      </c>
      <c r="H5" s="763"/>
      <c r="I5" s="762" t="s">
        <v>377</v>
      </c>
      <c r="J5" s="770"/>
      <c r="K5" s="781">
        <f>D19</f>
        <v>310406.89459202881</v>
      </c>
      <c r="L5" s="778"/>
      <c r="M5" s="777" t="s">
        <v>10</v>
      </c>
      <c r="N5" s="778"/>
      <c r="O5" s="1"/>
      <c r="P5" s="1"/>
      <c r="Q5" s="1"/>
      <c r="R5" s="1"/>
      <c r="S5" s="1"/>
    </row>
    <row r="6" spans="1:19" ht="35.25" customHeight="1" x14ac:dyDescent="0.25">
      <c r="B6" s="782"/>
      <c r="C6" s="784"/>
      <c r="D6" s="784"/>
      <c r="E6" s="762" t="s">
        <v>329</v>
      </c>
      <c r="F6" s="763"/>
      <c r="G6" s="762" t="s">
        <v>373</v>
      </c>
      <c r="H6" s="763"/>
      <c r="I6" s="762" t="s">
        <v>382</v>
      </c>
      <c r="J6" s="770"/>
      <c r="K6" s="781">
        <f>D20</f>
        <v>6517822.2166542476</v>
      </c>
      <c r="L6" s="785"/>
      <c r="M6" s="777"/>
      <c r="N6" s="778"/>
      <c r="O6" s="1"/>
      <c r="P6" s="1"/>
      <c r="Q6" s="1"/>
      <c r="R6" s="1"/>
      <c r="S6" s="1"/>
    </row>
    <row r="7" spans="1:19" ht="51.75" customHeight="1" x14ac:dyDescent="0.25">
      <c r="B7" s="782"/>
      <c r="C7" s="784"/>
      <c r="D7" s="784"/>
      <c r="E7" s="762" t="s">
        <v>361</v>
      </c>
      <c r="F7" s="763"/>
      <c r="G7" s="762" t="s">
        <v>369</v>
      </c>
      <c r="H7" s="763"/>
      <c r="I7" s="762" t="s">
        <v>378</v>
      </c>
      <c r="J7" s="770"/>
      <c r="K7" s="781">
        <f>D21</f>
        <v>3765513.6142436764</v>
      </c>
      <c r="L7" s="785"/>
      <c r="M7" s="777"/>
      <c r="N7" s="778"/>
      <c r="O7" s="1"/>
      <c r="P7" s="1"/>
      <c r="Q7" s="1"/>
      <c r="R7" s="1"/>
      <c r="S7" s="1"/>
    </row>
    <row r="8" spans="1:19" ht="52.5" customHeight="1" x14ac:dyDescent="0.25">
      <c r="B8" s="782"/>
      <c r="C8" s="784"/>
      <c r="D8" s="784"/>
      <c r="E8" s="762" t="s">
        <v>11</v>
      </c>
      <c r="F8" s="770"/>
      <c r="G8" s="762" t="s">
        <v>374</v>
      </c>
      <c r="H8" s="763"/>
      <c r="I8" s="762" t="s">
        <v>380</v>
      </c>
      <c r="J8" s="770"/>
      <c r="K8" s="781">
        <f>D23</f>
        <v>494832.69312643999</v>
      </c>
      <c r="L8" s="778"/>
      <c r="M8" s="777" t="s">
        <v>12</v>
      </c>
      <c r="N8" s="778"/>
      <c r="O8" s="1"/>
      <c r="P8" s="1"/>
      <c r="Q8" s="1"/>
      <c r="R8" s="1"/>
      <c r="S8" s="1"/>
    </row>
    <row r="9" spans="1:19" ht="35.25" customHeight="1" x14ac:dyDescent="0.25">
      <c r="B9" s="782"/>
      <c r="C9" s="784"/>
      <c r="D9" s="784"/>
      <c r="E9" s="762" t="s">
        <v>106</v>
      </c>
      <c r="F9" s="763"/>
      <c r="G9" s="762" t="s">
        <v>373</v>
      </c>
      <c r="H9" s="763"/>
      <c r="I9" s="762" t="s">
        <v>379</v>
      </c>
      <c r="J9" s="770"/>
      <c r="K9" s="781">
        <f>D24</f>
        <v>153052679.16338867</v>
      </c>
      <c r="L9" s="778"/>
      <c r="M9" s="777" t="s">
        <v>13</v>
      </c>
      <c r="N9" s="778"/>
      <c r="O9" s="1"/>
      <c r="P9" s="1"/>
      <c r="Q9" s="1"/>
      <c r="R9" s="1"/>
      <c r="S9" s="1"/>
    </row>
    <row r="10" spans="1:19" x14ac:dyDescent="0.25">
      <c r="B10" s="1"/>
      <c r="C10" s="1"/>
      <c r="D10" s="1"/>
      <c r="E10" s="1"/>
      <c r="F10" s="1"/>
      <c r="G10" s="1"/>
      <c r="H10" s="1"/>
      <c r="I10" s="1"/>
      <c r="J10" s="4"/>
      <c r="K10" s="1"/>
      <c r="L10" s="4"/>
      <c r="M10" s="1"/>
      <c r="N10" s="1"/>
      <c r="O10" s="1"/>
      <c r="P10" s="1"/>
      <c r="Q10" s="1"/>
    </row>
    <row r="11" spans="1:19" x14ac:dyDescent="0.25">
      <c r="B11" s="1"/>
      <c r="C11" s="1"/>
      <c r="D11" s="1"/>
      <c r="E11" s="1"/>
      <c r="F11" s="1"/>
      <c r="G11" s="1"/>
      <c r="H11" s="1"/>
      <c r="I11" s="1"/>
      <c r="J11" s="4"/>
      <c r="K11" s="1"/>
      <c r="L11" s="4"/>
      <c r="M11" s="1"/>
      <c r="N11" s="1"/>
      <c r="O11" s="1"/>
      <c r="P11" s="1"/>
      <c r="Q11" s="1"/>
    </row>
    <row r="12" spans="1:19" ht="18.75" x14ac:dyDescent="0.3">
      <c r="A12" s="317" t="s">
        <v>362</v>
      </c>
      <c r="B12" s="1"/>
      <c r="C12" s="1"/>
      <c r="D12" s="1"/>
      <c r="E12" s="1"/>
      <c r="F12" s="1"/>
      <c r="G12" s="1"/>
      <c r="H12" s="1"/>
      <c r="I12" s="1"/>
      <c r="J12" s="3"/>
      <c r="K12" s="1"/>
      <c r="L12" s="3"/>
      <c r="M12" s="1"/>
      <c r="N12" s="1"/>
      <c r="O12" s="1"/>
      <c r="P12" s="1"/>
      <c r="Q12" s="1"/>
    </row>
    <row r="13" spans="1:19" ht="18.75" x14ac:dyDescent="0.3">
      <c r="A13" s="766" t="s">
        <v>107</v>
      </c>
      <c r="B13" s="766"/>
      <c r="C13" s="766"/>
      <c r="D13" s="766"/>
      <c r="E13" s="766"/>
      <c r="F13" s="1"/>
      <c r="K13" s="3"/>
      <c r="L13" s="6"/>
      <c r="M13" s="1"/>
      <c r="N13" s="1"/>
      <c r="O13" s="1"/>
      <c r="P13" s="1"/>
    </row>
    <row r="14" spans="1:19" x14ac:dyDescent="0.25">
      <c r="A14" s="53"/>
      <c r="B14" s="53"/>
      <c r="C14" s="767" t="s">
        <v>15</v>
      </c>
      <c r="D14" s="767"/>
      <c r="E14" s="767"/>
      <c r="F14" s="1"/>
      <c r="K14" s="1"/>
      <c r="L14" s="1"/>
      <c r="M14" s="5"/>
      <c r="N14" s="1"/>
      <c r="O14" s="1"/>
      <c r="P14" s="1"/>
      <c r="Q14" s="1"/>
      <c r="R14" s="1"/>
    </row>
    <row r="15" spans="1:19" x14ac:dyDescent="0.25">
      <c r="A15" s="53"/>
      <c r="B15" s="54"/>
      <c r="C15" s="55" t="s">
        <v>16</v>
      </c>
      <c r="D15" s="56">
        <v>7.0000000000000007E-2</v>
      </c>
      <c r="E15" s="56">
        <v>0.03</v>
      </c>
      <c r="F15" s="1"/>
      <c r="K15" s="1"/>
      <c r="L15" s="1"/>
      <c r="M15" s="5"/>
      <c r="N15" s="1"/>
      <c r="O15" s="1"/>
      <c r="P15" s="1"/>
      <c r="Q15" s="1"/>
      <c r="R15" s="1"/>
    </row>
    <row r="16" spans="1:19" x14ac:dyDescent="0.25">
      <c r="A16" s="57" t="s">
        <v>17</v>
      </c>
      <c r="B16" s="58"/>
      <c r="C16" s="101"/>
      <c r="D16" s="101"/>
      <c r="E16" s="101"/>
      <c r="F16" s="1"/>
      <c r="K16" s="1"/>
      <c r="L16" s="1"/>
      <c r="M16" s="5"/>
      <c r="N16" s="1"/>
      <c r="O16" s="1"/>
      <c r="P16" s="1"/>
      <c r="Q16" s="1"/>
      <c r="R16" s="1"/>
    </row>
    <row r="17" spans="1:18" x14ac:dyDescent="0.25">
      <c r="A17" s="61" t="s">
        <v>18</v>
      </c>
      <c r="B17" s="60" t="s">
        <v>332</v>
      </c>
      <c r="C17" s="774" t="s">
        <v>333</v>
      </c>
      <c r="D17" s="775"/>
      <c r="E17" s="776"/>
      <c r="F17" s="1"/>
      <c r="K17" s="1"/>
      <c r="L17" s="1"/>
      <c r="M17" s="5"/>
      <c r="N17" s="1"/>
      <c r="O17" s="1"/>
      <c r="P17" s="1"/>
      <c r="Q17" s="1"/>
      <c r="R17" s="1"/>
    </row>
    <row r="18" spans="1:18" ht="15.75" customHeight="1" x14ac:dyDescent="0.25">
      <c r="A18" s="771" t="s">
        <v>19</v>
      </c>
      <c r="B18" s="60" t="s">
        <v>20</v>
      </c>
      <c r="C18" s="270">
        <f>IFERROR('Travel Time NVP'!D6,0)</f>
        <v>360983582.26007932</v>
      </c>
      <c r="D18" s="270">
        <f>IFERROR('Travel Time NVP'!E6,0)</f>
        <v>90795984.861343205</v>
      </c>
      <c r="E18" s="270">
        <f>IFERROR('Travel Time NVP'!F6,0)</f>
        <v>189984253.78077814</v>
      </c>
      <c r="F18" s="1"/>
      <c r="K18" s="1"/>
      <c r="L18" s="1"/>
      <c r="M18" s="5"/>
      <c r="N18" s="1"/>
      <c r="O18" s="1"/>
      <c r="P18" s="1"/>
      <c r="Q18" s="1"/>
      <c r="R18" s="1"/>
    </row>
    <row r="19" spans="1:18" x14ac:dyDescent="0.25">
      <c r="A19" s="772"/>
      <c r="B19" s="60" t="s">
        <v>328</v>
      </c>
      <c r="C19" s="270">
        <f>IFERROR('User Cost NPV'!D6,0)</f>
        <v>902030.55423349398</v>
      </c>
      <c r="D19" s="270">
        <f>IFERROR('User Cost NPV'!E6,0)</f>
        <v>310406.89459202881</v>
      </c>
      <c r="E19" s="270">
        <f>IFERROR('User Cost NPV'!F6,0)</f>
        <v>545423.96335652494</v>
      </c>
      <c r="F19" s="1"/>
      <c r="K19" s="1"/>
      <c r="L19" s="1"/>
      <c r="M19" s="5"/>
      <c r="N19" s="1"/>
      <c r="O19" s="1"/>
      <c r="P19" s="1"/>
      <c r="Q19" s="1"/>
      <c r="R19" s="1"/>
    </row>
    <row r="20" spans="1:18" x14ac:dyDescent="0.25">
      <c r="A20" s="772"/>
      <c r="B20" s="60" t="s">
        <v>329</v>
      </c>
      <c r="C20" s="270">
        <f>Reliability!D6</f>
        <v>26958797.33984426</v>
      </c>
      <c r="D20" s="270">
        <f>Reliability!E6</f>
        <v>6517822.2166542476</v>
      </c>
      <c r="E20" s="270">
        <f>Reliability!F6</f>
        <v>13988496.878151093</v>
      </c>
      <c r="F20" s="1"/>
      <c r="K20" s="1"/>
      <c r="L20" s="1"/>
      <c r="M20" s="5"/>
      <c r="N20" s="1"/>
      <c r="O20" s="1"/>
      <c r="P20" s="1"/>
      <c r="Q20" s="1"/>
      <c r="R20" s="1"/>
    </row>
    <row r="21" spans="1:18" x14ac:dyDescent="0.25">
      <c r="A21" s="773"/>
      <c r="B21" s="60" t="s">
        <v>357</v>
      </c>
      <c r="C21" s="270">
        <f>'Freight Operations Benefits'!D6</f>
        <v>11932800</v>
      </c>
      <c r="D21" s="270">
        <f>'Freight Operations Benefits'!E6</f>
        <v>3765513.6142436764</v>
      </c>
      <c r="E21" s="270">
        <f>'Freight Operations Benefits'!F6</f>
        <v>6926886.2952437475</v>
      </c>
      <c r="F21" s="1"/>
      <c r="K21" s="1"/>
      <c r="L21" s="1"/>
      <c r="M21" s="5"/>
      <c r="N21" s="1"/>
      <c r="O21" s="1"/>
      <c r="P21" s="1"/>
      <c r="Q21" s="1"/>
      <c r="R21" s="1"/>
    </row>
    <row r="22" spans="1:18" x14ac:dyDescent="0.25">
      <c r="A22" s="62" t="s">
        <v>21</v>
      </c>
      <c r="B22" s="60"/>
      <c r="C22" s="270"/>
      <c r="D22" s="270"/>
      <c r="E22" s="270"/>
      <c r="M22" s="6"/>
    </row>
    <row r="23" spans="1:18" x14ac:dyDescent="0.25">
      <c r="A23" s="62" t="s">
        <v>22</v>
      </c>
      <c r="B23" s="63" t="s">
        <v>23</v>
      </c>
      <c r="C23" s="270">
        <f>IFERROR('Air Quality NPV'!D6,0)</f>
        <v>1752935.2629696578</v>
      </c>
      <c r="D23" s="270">
        <f>IFERROR('Air Quality NPV'!E6,0)</f>
        <v>494832.69312643999</v>
      </c>
      <c r="E23" s="270">
        <f>IFERROR('Air Quality NPV'!F6,0)</f>
        <v>963058.54951362778</v>
      </c>
      <c r="G23" s="281"/>
      <c r="M23" s="6"/>
    </row>
    <row r="24" spans="1:18" x14ac:dyDescent="0.25">
      <c r="A24" s="64" t="s">
        <v>24</v>
      </c>
      <c r="B24" s="60" t="s">
        <v>106</v>
      </c>
      <c r="C24" s="270">
        <f>'Safety NPV'!D6</f>
        <v>607613338.97909701</v>
      </c>
      <c r="D24" s="270">
        <f>'Safety NPV'!E6</f>
        <v>153052679.16338867</v>
      </c>
      <c r="E24" s="270">
        <f>'Safety NPV'!F6</f>
        <v>319973660.79866654</v>
      </c>
      <c r="M24" s="6"/>
    </row>
    <row r="25" spans="1:18" x14ac:dyDescent="0.25">
      <c r="A25" s="65"/>
      <c r="B25" s="60" t="s">
        <v>25</v>
      </c>
      <c r="C25" s="270">
        <f>SUM(C17:C24)</f>
        <v>1010143484.3962238</v>
      </c>
      <c r="D25" s="270">
        <f>SUM(D17:D24)</f>
        <v>254937239.44334826</v>
      </c>
      <c r="E25" s="270">
        <f>SUM(E17:E24)</f>
        <v>532381780.26570964</v>
      </c>
      <c r="M25" s="6"/>
    </row>
    <row r="26" spans="1:18" x14ac:dyDescent="0.25">
      <c r="M26" s="6"/>
    </row>
    <row r="27" spans="1:18" x14ac:dyDescent="0.25">
      <c r="A27" s="57" t="s">
        <v>26</v>
      </c>
      <c r="B27" s="58"/>
      <c r="C27" s="103"/>
      <c r="D27" s="104"/>
      <c r="E27" s="104"/>
    </row>
    <row r="28" spans="1:18" x14ac:dyDescent="0.25">
      <c r="A28" s="59"/>
      <c r="B28" s="60" t="s">
        <v>27</v>
      </c>
      <c r="C28" s="102">
        <f>'Cap Costs NPV '!AB42</f>
        <v>24774291.525645487</v>
      </c>
      <c r="D28" s="102">
        <f>'Cap Costs NPV '!AC42</f>
        <v>5510141.3768568449</v>
      </c>
      <c r="E28" s="102">
        <f>'Cap Costs NPV '!AD42</f>
        <v>10312906.40115957</v>
      </c>
    </row>
    <row r="29" spans="1:18" x14ac:dyDescent="0.25">
      <c r="A29" s="59"/>
      <c r="B29" s="60" t="s">
        <v>28</v>
      </c>
      <c r="C29" s="102">
        <f>'O&amp;M Costs NPV '!AB40</f>
        <v>3312796.1028561024</v>
      </c>
      <c r="D29" s="102">
        <f>'O&amp;M Costs NPV '!AC40</f>
        <v>1049373.9969418228</v>
      </c>
      <c r="E29" s="102">
        <f>'O&amp;M Costs NPV '!AD40</f>
        <v>1960326.0612819365</v>
      </c>
    </row>
    <row r="30" spans="1:18" x14ac:dyDescent="0.25">
      <c r="A30" s="59"/>
      <c r="B30" s="60" t="s">
        <v>29</v>
      </c>
      <c r="C30" s="102">
        <f>SUM(C28:C29)</f>
        <v>28087087.62850159</v>
      </c>
      <c r="D30" s="102">
        <f>SUM(D28:D29)</f>
        <v>6559515.3737986675</v>
      </c>
      <c r="E30" s="102">
        <f>SUM(E28:E29)</f>
        <v>12273232.462441506</v>
      </c>
    </row>
    <row r="31" spans="1:18" x14ac:dyDescent="0.25">
      <c r="A31" s="764" t="s">
        <v>30</v>
      </c>
      <c r="B31" s="765"/>
      <c r="C31" s="102">
        <f>C25-C30</f>
        <v>982056396.76772225</v>
      </c>
      <c r="D31" s="102">
        <f>D25-D30</f>
        <v>248377724.06954959</v>
      </c>
      <c r="E31" s="102">
        <f>E25-E30</f>
        <v>520108547.80326813</v>
      </c>
      <c r="I31" s="4"/>
      <c r="J31" s="8"/>
      <c r="K31" s="4"/>
      <c r="L31" s="8"/>
    </row>
    <row r="32" spans="1:18" x14ac:dyDescent="0.25">
      <c r="J32" s="4"/>
      <c r="L32" s="4"/>
    </row>
    <row r="33" spans="1:12" x14ac:dyDescent="0.25">
      <c r="A33" s="61"/>
      <c r="B33" s="61" t="s">
        <v>108</v>
      </c>
      <c r="C33" s="102"/>
      <c r="D33" s="102">
        <f>'Cap Costs NPV '!AC40</f>
        <v>10485300.744589137</v>
      </c>
      <c r="E33" s="102">
        <f>'Cap Costs NPV '!AD41</f>
        <v>9424690.1485019438</v>
      </c>
      <c r="F33" s="271"/>
      <c r="J33" s="7"/>
      <c r="L33" s="7"/>
    </row>
    <row r="34" spans="1:12" x14ac:dyDescent="0.25">
      <c r="A34" s="61"/>
      <c r="B34" s="61" t="s">
        <v>113</v>
      </c>
      <c r="C34" s="102"/>
      <c r="D34" s="102">
        <f>'Cap Costs NPV '!AC43</f>
        <v>15995442.121445982</v>
      </c>
      <c r="E34" s="102">
        <f>'Cap Costs NPV '!AD43</f>
        <v>19737596.549661513</v>
      </c>
      <c r="J34" s="7"/>
      <c r="L34" s="7"/>
    </row>
    <row r="35" spans="1:12" x14ac:dyDescent="0.25">
      <c r="A35" s="61"/>
      <c r="B35" s="61" t="s">
        <v>109</v>
      </c>
      <c r="C35" s="102"/>
      <c r="D35" s="102">
        <f>(D25+D33+D29)</f>
        <v>266471914.18487924</v>
      </c>
      <c r="E35" s="102">
        <f>(E25+E33+E29)</f>
        <v>543766796.47549355</v>
      </c>
      <c r="J35" s="9"/>
      <c r="L35" s="9"/>
    </row>
    <row r="36" spans="1:12" x14ac:dyDescent="0.25">
      <c r="A36" s="61"/>
      <c r="B36" s="61" t="s">
        <v>110</v>
      </c>
      <c r="C36" s="102"/>
      <c r="D36" s="135">
        <f>D35/D34</f>
        <v>16.659240311188739</v>
      </c>
      <c r="E36" s="135">
        <f>E35/E28</f>
        <v>52.726823586254319</v>
      </c>
    </row>
    <row r="37" spans="1:12" x14ac:dyDescent="0.25">
      <c r="A37" s="61"/>
      <c r="B37" s="61"/>
      <c r="C37" s="102"/>
      <c r="D37" s="102"/>
      <c r="E37" s="102"/>
    </row>
  </sheetData>
  <mergeCells count="53">
    <mergeCell ref="C2:D9"/>
    <mergeCell ref="K6:L6"/>
    <mergeCell ref="K7:L7"/>
    <mergeCell ref="K9:L9"/>
    <mergeCell ref="M9:N9"/>
    <mergeCell ref="K8:L8"/>
    <mergeCell ref="M8:N8"/>
    <mergeCell ref="I9:J9"/>
    <mergeCell ref="M6:N6"/>
    <mergeCell ref="G8:H8"/>
    <mergeCell ref="M1:N1"/>
    <mergeCell ref="M3:N3"/>
    <mergeCell ref="M5:N5"/>
    <mergeCell ref="M4:N4"/>
    <mergeCell ref="M2:N2"/>
    <mergeCell ref="I4:J4"/>
    <mergeCell ref="K4:L4"/>
    <mergeCell ref="G5:H5"/>
    <mergeCell ref="I5:J5"/>
    <mergeCell ref="K5:L5"/>
    <mergeCell ref="G4:H4"/>
    <mergeCell ref="G9:H9"/>
    <mergeCell ref="M7:N7"/>
    <mergeCell ref="G6:H6"/>
    <mergeCell ref="G7:H7"/>
    <mergeCell ref="I1:J1"/>
    <mergeCell ref="K1:L1"/>
    <mergeCell ref="G3:H3"/>
    <mergeCell ref="I3:J3"/>
    <mergeCell ref="K3:L3"/>
    <mergeCell ref="G1:H1"/>
    <mergeCell ref="I2:J2"/>
    <mergeCell ref="K2:L2"/>
    <mergeCell ref="G2:H2"/>
    <mergeCell ref="I6:J6"/>
    <mergeCell ref="I7:J7"/>
    <mergeCell ref="I8:J8"/>
    <mergeCell ref="E1:F1"/>
    <mergeCell ref="E3:F3"/>
    <mergeCell ref="A31:B31"/>
    <mergeCell ref="A13:E13"/>
    <mergeCell ref="C14:E14"/>
    <mergeCell ref="C1:D1"/>
    <mergeCell ref="E8:F8"/>
    <mergeCell ref="E9:F9"/>
    <mergeCell ref="E4:F4"/>
    <mergeCell ref="E5:F5"/>
    <mergeCell ref="A18:A21"/>
    <mergeCell ref="C17:E17"/>
    <mergeCell ref="E6:F6"/>
    <mergeCell ref="E7:F7"/>
    <mergeCell ref="E2:F2"/>
    <mergeCell ref="B2:B9"/>
  </mergeCells>
  <printOptions headings="1" gridLines="1"/>
  <pageMargins left="0.75" right="0.75" top="1" bottom="1" header="0.5" footer="0.5"/>
  <pageSetup scale="90"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5D3D-5D17-4D95-B8A5-27C05A805F70}">
  <sheetPr codeName="Sheet9">
    <tabColor rgb="FFFFFF00"/>
  </sheetPr>
  <dimension ref="A1:I148"/>
  <sheetViews>
    <sheetView topLeftCell="C19" workbookViewId="0">
      <selection activeCell="D35" sqref="D35"/>
    </sheetView>
    <sheetView workbookViewId="1"/>
  </sheetViews>
  <sheetFormatPr defaultRowHeight="15.75" x14ac:dyDescent="0.25"/>
  <cols>
    <col min="1" max="1" width="3.875" style="1" customWidth="1"/>
    <col min="2" max="2" width="47.5" style="1" customWidth="1"/>
    <col min="3" max="3" width="16.375" style="1" customWidth="1"/>
    <col min="4" max="4" width="14.25" style="115" customWidth="1"/>
    <col min="5" max="5" width="13.25" style="10" customWidth="1"/>
    <col min="6" max="6" width="10.25" style="10" customWidth="1"/>
    <col min="7" max="7" width="15.875" style="1" customWidth="1"/>
    <col min="8" max="8" width="16.25" style="1" customWidth="1"/>
    <col min="9" max="9" width="67.75" style="1" customWidth="1"/>
    <col min="10" max="16384" width="9" style="1"/>
  </cols>
  <sheetData>
    <row r="1" spans="1:9" s="11" customFormat="1" ht="18.75" customHeight="1" x14ac:dyDescent="0.25">
      <c r="D1" s="808" t="s">
        <v>27</v>
      </c>
      <c r="E1" s="808"/>
      <c r="F1" s="183"/>
      <c r="G1" s="808" t="s">
        <v>178</v>
      </c>
      <c r="H1" s="808"/>
    </row>
    <row r="2" spans="1:9" s="26" customFormat="1" ht="33" customHeight="1" x14ac:dyDescent="0.25">
      <c r="A2" s="807" t="s">
        <v>40</v>
      </c>
      <c r="B2" s="807"/>
      <c r="C2" s="193" t="s">
        <v>41</v>
      </c>
      <c r="D2" s="193" t="s">
        <v>139</v>
      </c>
      <c r="E2" s="193" t="s">
        <v>101</v>
      </c>
      <c r="F2" s="193" t="s">
        <v>146</v>
      </c>
      <c r="G2" s="193" t="s">
        <v>139</v>
      </c>
      <c r="H2" s="193" t="s">
        <v>101</v>
      </c>
    </row>
    <row r="3" spans="1:9" s="11" customFormat="1" ht="19.5" customHeight="1" x14ac:dyDescent="0.25">
      <c r="A3" s="809" t="s">
        <v>180</v>
      </c>
      <c r="B3" s="809"/>
      <c r="C3" s="809"/>
      <c r="D3" s="809"/>
      <c r="E3" s="809"/>
      <c r="F3" s="809"/>
      <c r="G3" s="809"/>
      <c r="H3" s="809"/>
    </row>
    <row r="4" spans="1:9" s="11" customFormat="1" x14ac:dyDescent="0.25">
      <c r="A4" s="103" t="s">
        <v>177</v>
      </c>
      <c r="B4" s="166"/>
      <c r="C4" s="195">
        <v>2022</v>
      </c>
      <c r="D4" s="200">
        <v>2700000</v>
      </c>
      <c r="E4" s="200">
        <f>D4*'CPI Factor Calculations'!$D$27</f>
        <v>2579160.4094618466</v>
      </c>
      <c r="F4" s="158" t="s">
        <v>42</v>
      </c>
      <c r="G4" s="200">
        <v>0</v>
      </c>
      <c r="H4" s="200">
        <f>G4*'CPI Factor Calculations'!$D$27</f>
        <v>0</v>
      </c>
    </row>
    <row r="5" spans="1:9" s="11" customFormat="1" x14ac:dyDescent="0.25">
      <c r="A5" s="103" t="s">
        <v>92</v>
      </c>
      <c r="B5" s="166"/>
      <c r="C5" s="195">
        <v>2023</v>
      </c>
      <c r="D5" s="200">
        <v>13500000</v>
      </c>
      <c r="E5" s="200">
        <f>D5*'CPI Factor Calculations'!$D$27</f>
        <v>12895802.047309233</v>
      </c>
      <c r="F5" s="196">
        <v>100</v>
      </c>
      <c r="G5" s="200">
        <v>0</v>
      </c>
      <c r="H5" s="200">
        <f>G5*'CPI Factor Calculations'!$D$27</f>
        <v>0</v>
      </c>
    </row>
    <row r="6" spans="1:9" s="11" customFormat="1" x14ac:dyDescent="0.25">
      <c r="A6" s="103" t="s">
        <v>179</v>
      </c>
      <c r="B6" s="166"/>
      <c r="C6" s="195">
        <v>2023</v>
      </c>
      <c r="D6" s="200">
        <v>1700000</v>
      </c>
      <c r="E6" s="200">
        <f>D6*'CPI Factor Calculations'!$D$27</f>
        <v>1623915.8133648664</v>
      </c>
      <c r="F6" s="158" t="s">
        <v>42</v>
      </c>
      <c r="G6" s="200">
        <v>0</v>
      </c>
      <c r="H6" s="200">
        <f>G6*'CPI Factor Calculations'!$D$27</f>
        <v>0</v>
      </c>
    </row>
    <row r="7" spans="1:9" x14ac:dyDescent="0.25">
      <c r="A7" s="809" t="s">
        <v>132</v>
      </c>
      <c r="B7" s="809"/>
      <c r="C7" s="809"/>
      <c r="D7" s="809" t="s">
        <v>139</v>
      </c>
      <c r="E7" s="809" t="s">
        <v>145</v>
      </c>
      <c r="F7" s="809" t="s">
        <v>146</v>
      </c>
      <c r="G7" s="809"/>
      <c r="H7" s="809"/>
    </row>
    <row r="8" spans="1:9" x14ac:dyDescent="0.25">
      <c r="A8" s="117" t="s">
        <v>140</v>
      </c>
      <c r="B8" s="117"/>
      <c r="C8" s="196">
        <v>2022</v>
      </c>
      <c r="D8" s="200">
        <f>1947603+486901+97380+389521</f>
        <v>2921405</v>
      </c>
      <c r="E8" s="200">
        <f>D8*'CPI Factor Calculations'!$D$27</f>
        <v>2790656.3392606983</v>
      </c>
      <c r="F8" s="158" t="s">
        <v>42</v>
      </c>
      <c r="G8" s="200">
        <v>0</v>
      </c>
      <c r="H8" s="200">
        <f>G8*'CPI Factor Calculations'!$D$27</f>
        <v>0</v>
      </c>
    </row>
    <row r="9" spans="1:9" x14ac:dyDescent="0.25">
      <c r="A9" s="117" t="s">
        <v>141</v>
      </c>
      <c r="B9" s="117"/>
      <c r="C9" s="196" t="s">
        <v>147</v>
      </c>
      <c r="D9" s="200">
        <f>1168562+194760+19476+38952</f>
        <v>1421750</v>
      </c>
      <c r="E9" s="200">
        <f>D9*'CPI Factor Calculations'!$D$27</f>
        <v>1358119.0045008815</v>
      </c>
      <c r="F9" s="158" t="s">
        <v>42</v>
      </c>
      <c r="G9" s="200">
        <v>0</v>
      </c>
      <c r="H9" s="200">
        <f>G9*'CPI Factor Calculations'!$D$27</f>
        <v>0</v>
      </c>
    </row>
    <row r="10" spans="1:9" x14ac:dyDescent="0.25">
      <c r="A10" s="117"/>
      <c r="B10" s="153" t="s">
        <v>43</v>
      </c>
      <c r="C10" s="153"/>
      <c r="D10" s="154">
        <f>SUM(D8:D9)</f>
        <v>4343155</v>
      </c>
      <c r="E10" s="154">
        <f>D10*'CPI Factor Calculations'!$D$27</f>
        <v>4148775.3437615801</v>
      </c>
      <c r="F10" s="196"/>
      <c r="G10" s="200"/>
      <c r="H10" s="117"/>
    </row>
    <row r="11" spans="1:9" x14ac:dyDescent="0.25">
      <c r="A11" s="238" t="s">
        <v>92</v>
      </c>
      <c r="B11" s="238"/>
      <c r="C11" s="238"/>
      <c r="D11" s="242"/>
      <c r="E11" s="242"/>
      <c r="F11" s="240"/>
      <c r="G11" s="238"/>
      <c r="H11" s="238"/>
    </row>
    <row r="12" spans="1:9" ht="31.5" x14ac:dyDescent="0.25">
      <c r="A12" s="117"/>
      <c r="B12" s="155" t="s">
        <v>148</v>
      </c>
      <c r="C12" s="195">
        <v>2024</v>
      </c>
      <c r="D12" s="156">
        <v>2204300</v>
      </c>
      <c r="E12" s="156">
        <f>D12*'CPI Factor Calculations'!$D$27</f>
        <v>2105645.6631765733</v>
      </c>
      <c r="F12" s="158" t="s">
        <v>42</v>
      </c>
      <c r="G12" s="200">
        <v>0</v>
      </c>
      <c r="H12" s="117"/>
    </row>
    <row r="13" spans="1:9" ht="31.5" x14ac:dyDescent="0.25">
      <c r="A13" s="117"/>
      <c r="B13" s="155" t="s">
        <v>133</v>
      </c>
      <c r="C13" s="195">
        <v>2024</v>
      </c>
      <c r="D13" s="156">
        <v>1493324</v>
      </c>
      <c r="E13" s="156">
        <f>D13*'CPI Factor Calculations'!$D$27</f>
        <v>1426489.6812219268</v>
      </c>
      <c r="F13" s="158">
        <v>100</v>
      </c>
      <c r="G13" s="200">
        <v>0</v>
      </c>
      <c r="H13" s="200">
        <f>G13*'CPI Factor Calculations'!$D$27</f>
        <v>0</v>
      </c>
    </row>
    <row r="14" spans="1:9" ht="47.25" x14ac:dyDescent="0.25">
      <c r="A14" s="117"/>
      <c r="B14" s="117" t="s">
        <v>134</v>
      </c>
      <c r="C14" s="195">
        <v>2024</v>
      </c>
      <c r="D14" s="156">
        <v>4223747</v>
      </c>
      <c r="E14" s="156">
        <f>D14*'CPI Factor Calculations'!$D$27</f>
        <v>4034711.4970308319</v>
      </c>
      <c r="F14" s="196">
        <v>30</v>
      </c>
      <c r="G14" s="224" t="s">
        <v>225</v>
      </c>
      <c r="H14" s="224" t="s">
        <v>225</v>
      </c>
      <c r="I14" s="11" t="s">
        <v>260</v>
      </c>
    </row>
    <row r="15" spans="1:9" x14ac:dyDescent="0.25">
      <c r="A15" s="117"/>
      <c r="B15" s="117" t="s">
        <v>135</v>
      </c>
      <c r="C15" s="195">
        <v>2024</v>
      </c>
      <c r="D15" s="156">
        <v>2460000</v>
      </c>
      <c r="E15" s="156">
        <f>D15*'CPI Factor Calculations'!$D$27</f>
        <v>2349901.7063985714</v>
      </c>
      <c r="F15" s="196">
        <v>75</v>
      </c>
      <c r="G15" s="224">
        <v>2000</v>
      </c>
      <c r="H15" s="224">
        <f>G15*'CPI Factor Calculations'!$D$27</f>
        <v>1910.4891921939604</v>
      </c>
      <c r="I15" s="1" t="s">
        <v>264</v>
      </c>
    </row>
    <row r="16" spans="1:9" x14ac:dyDescent="0.25">
      <c r="A16" s="117"/>
      <c r="B16" s="117" t="s">
        <v>143</v>
      </c>
      <c r="C16" s="195">
        <v>2024</v>
      </c>
      <c r="D16" s="156">
        <v>21801</v>
      </c>
      <c r="E16" s="156">
        <f>D16*'CPI Factor Calculations'!$D$27</f>
        <v>20825.287439510266</v>
      </c>
      <c r="F16" s="196">
        <v>5</v>
      </c>
      <c r="G16" s="200" t="s">
        <v>222</v>
      </c>
      <c r="H16" s="200" t="s">
        <v>222</v>
      </c>
      <c r="I16" s="1" t="s">
        <v>215</v>
      </c>
    </row>
    <row r="17" spans="1:9" x14ac:dyDescent="0.25">
      <c r="A17" s="117"/>
      <c r="B17" s="117" t="s">
        <v>144</v>
      </c>
      <c r="C17" s="195">
        <v>2024</v>
      </c>
      <c r="D17" s="156">
        <f>25705</f>
        <v>25705</v>
      </c>
      <c r="E17" s="156">
        <f>D17*'CPI Factor Calculations'!$D$27</f>
        <v>24554.562342672874</v>
      </c>
      <c r="F17" s="196">
        <v>20</v>
      </c>
      <c r="G17" s="200" t="s">
        <v>223</v>
      </c>
      <c r="H17" s="200" t="s">
        <v>223</v>
      </c>
      <c r="I17" s="1" t="s">
        <v>216</v>
      </c>
    </row>
    <row r="18" spans="1:9" ht="47.25" x14ac:dyDescent="0.25">
      <c r="A18" s="117"/>
      <c r="B18" s="117" t="s">
        <v>241</v>
      </c>
      <c r="C18" s="195">
        <v>2024</v>
      </c>
      <c r="D18" s="156">
        <v>102635</v>
      </c>
      <c r="E18" s="156">
        <f>D18*'CPI Factor Calculations'!$D$27</f>
        <v>98041.529120413557</v>
      </c>
      <c r="F18" s="196">
        <v>20</v>
      </c>
      <c r="G18" s="237" t="s">
        <v>98</v>
      </c>
      <c r="H18" s="224">
        <f>1579*22*'CPI Factor Calculations'!G27*'CPI Factor Calculations'!I51</f>
        <v>51724.629491173415</v>
      </c>
      <c r="I18" s="11" t="s">
        <v>246</v>
      </c>
    </row>
    <row r="19" spans="1:9" x14ac:dyDescent="0.25">
      <c r="A19" s="117"/>
      <c r="B19" s="238" t="s">
        <v>136</v>
      </c>
      <c r="C19" s="238"/>
      <c r="D19" s="239"/>
      <c r="E19" s="239"/>
      <c r="F19" s="240"/>
      <c r="G19" s="241"/>
      <c r="H19" s="241">
        <f>G19*'CPI Factor Calculations'!$D$27</f>
        <v>0</v>
      </c>
    </row>
    <row r="20" spans="1:9" x14ac:dyDescent="0.25">
      <c r="A20" s="117"/>
      <c r="B20" s="103" t="s">
        <v>213</v>
      </c>
      <c r="C20" s="195">
        <v>2024</v>
      </c>
      <c r="D20" s="156">
        <v>501000</v>
      </c>
      <c r="E20" s="156">
        <f>D20*'CPI Factor Calculations'!$D$27</f>
        <v>478577.54264458705</v>
      </c>
      <c r="F20" s="196">
        <v>30</v>
      </c>
      <c r="G20" s="200"/>
      <c r="H20" s="200">
        <f>2500*'CPI Factor Calculations'!F27</f>
        <v>2531.2125337135453</v>
      </c>
      <c r="I20" s="1" t="s">
        <v>238</v>
      </c>
    </row>
    <row r="21" spans="1:9" x14ac:dyDescent="0.25">
      <c r="A21" s="117"/>
      <c r="B21" s="103" t="s">
        <v>151</v>
      </c>
      <c r="C21" s="195">
        <v>2024</v>
      </c>
      <c r="D21" s="156">
        <v>110000</v>
      </c>
      <c r="E21" s="156">
        <f>D21*'CPI Factor Calculations'!$D$27</f>
        <v>105076.90557066782</v>
      </c>
      <c r="F21" s="196">
        <v>10</v>
      </c>
      <c r="G21" s="224" t="s">
        <v>224</v>
      </c>
      <c r="H21" s="224" t="s">
        <v>224</v>
      </c>
    </row>
    <row r="22" spans="1:9" x14ac:dyDescent="0.25">
      <c r="A22" s="117"/>
      <c r="B22" s="103" t="s">
        <v>152</v>
      </c>
      <c r="C22" s="195">
        <v>2024</v>
      </c>
      <c r="D22" s="156">
        <f>30500+104500+32850</f>
        <v>167850</v>
      </c>
      <c r="E22" s="156">
        <f>D22*'CPI Factor Calculations'!$D$27</f>
        <v>160337.80545487814</v>
      </c>
      <c r="F22" s="196">
        <v>10</v>
      </c>
      <c r="G22" s="224">
        <v>2000</v>
      </c>
      <c r="H22" s="200">
        <f>G22*'CPI Factor Calculations'!$D$27</f>
        <v>1910.4891921939604</v>
      </c>
      <c r="I22" s="1" t="s">
        <v>239</v>
      </c>
    </row>
    <row r="23" spans="1:9" x14ac:dyDescent="0.25">
      <c r="A23" s="117"/>
      <c r="B23" s="103" t="s">
        <v>153</v>
      </c>
      <c r="C23" s="195">
        <v>2024</v>
      </c>
      <c r="D23" s="156">
        <v>229050</v>
      </c>
      <c r="E23" s="156">
        <f>D23*'CPI Factor Calculations'!$D$27</f>
        <v>218798.77473601332</v>
      </c>
      <c r="F23" s="196">
        <v>20</v>
      </c>
      <c r="G23" s="200" t="s">
        <v>214</v>
      </c>
      <c r="H23" s="200" t="s">
        <v>214</v>
      </c>
    </row>
    <row r="24" spans="1:9" x14ac:dyDescent="0.25">
      <c r="A24" s="117"/>
      <c r="B24" s="238" t="s">
        <v>137</v>
      </c>
      <c r="C24" s="238"/>
      <c r="D24" s="239"/>
      <c r="E24" s="239"/>
      <c r="F24" s="240"/>
      <c r="G24" s="241"/>
      <c r="H24" s="238"/>
    </row>
    <row r="25" spans="1:9" x14ac:dyDescent="0.25">
      <c r="A25" s="117"/>
      <c r="B25" s="223" t="s">
        <v>154</v>
      </c>
      <c r="C25" s="195">
        <v>2024</v>
      </c>
      <c r="D25" s="156">
        <v>1177915</v>
      </c>
      <c r="E25" s="156">
        <f>D25*'CPI Factor Calculations'!$D$27</f>
        <v>1125196.9384115743</v>
      </c>
      <c r="F25" s="196">
        <v>100</v>
      </c>
      <c r="G25" s="224">
        <v>4000</v>
      </c>
      <c r="H25" s="224">
        <f>G25*'CPI Factor Calculations'!$D$27</f>
        <v>3820.9783843879209</v>
      </c>
      <c r="I25" s="1" t="s">
        <v>228</v>
      </c>
    </row>
    <row r="26" spans="1:9" x14ac:dyDescent="0.25">
      <c r="A26" s="117"/>
      <c r="B26" s="223" t="s">
        <v>158</v>
      </c>
      <c r="C26" s="195">
        <v>2024</v>
      </c>
      <c r="D26" s="156">
        <v>1966725</v>
      </c>
      <c r="E26" s="156">
        <f>D26*'CPI Factor Calculations'!$D$27</f>
        <v>1878703.4282588335</v>
      </c>
      <c r="F26" s="196">
        <v>100</v>
      </c>
      <c r="G26" s="224">
        <v>2000</v>
      </c>
      <c r="H26" s="224">
        <f>G26*'CPI Factor Calculations'!$D$27</f>
        <v>1910.4891921939604</v>
      </c>
      <c r="I26" s="1" t="s">
        <v>227</v>
      </c>
    </row>
    <row r="27" spans="1:9" x14ac:dyDescent="0.25">
      <c r="A27" s="117"/>
      <c r="B27" s="223" t="s">
        <v>155</v>
      </c>
      <c r="C27" s="195">
        <v>2024</v>
      </c>
      <c r="D27" s="156">
        <v>435275</v>
      </c>
      <c r="E27" s="156">
        <f>D27*'CPI Factor Calculations'!$D$27</f>
        <v>415794.09156611306</v>
      </c>
      <c r="F27" s="196">
        <v>100</v>
      </c>
      <c r="G27" s="224">
        <v>3000</v>
      </c>
      <c r="H27" s="224">
        <f>G27*'CPI Factor Calculations'!$D$27</f>
        <v>2865.7337882909405</v>
      </c>
      <c r="I27" s="1" t="s">
        <v>228</v>
      </c>
    </row>
    <row r="28" spans="1:9" x14ac:dyDescent="0.25">
      <c r="A28" s="117"/>
      <c r="B28" s="223" t="s">
        <v>156</v>
      </c>
      <c r="C28" s="195">
        <v>2024</v>
      </c>
      <c r="D28" s="156">
        <v>199850</v>
      </c>
      <c r="E28" s="156">
        <f>D28*'CPI Factor Calculations'!$D$27</f>
        <v>190905.63252998149</v>
      </c>
      <c r="F28" s="196">
        <v>50</v>
      </c>
      <c r="G28" s="224">
        <v>1000</v>
      </c>
      <c r="H28" s="224">
        <f>G28*'CPI Factor Calculations'!$D$27</f>
        <v>955.24459609698022</v>
      </c>
      <c r="I28" s="230" t="s">
        <v>229</v>
      </c>
    </row>
    <row r="29" spans="1:9" x14ac:dyDescent="0.25">
      <c r="A29" s="117"/>
      <c r="B29" s="223" t="s">
        <v>157</v>
      </c>
      <c r="C29" s="195">
        <v>2024</v>
      </c>
      <c r="D29" s="156">
        <v>261650</v>
      </c>
      <c r="E29" s="156">
        <f>D29*'CPI Factor Calculations'!$D$27</f>
        <v>249939.74856877487</v>
      </c>
      <c r="F29" s="196">
        <v>20</v>
      </c>
      <c r="G29" s="224">
        <v>3000</v>
      </c>
      <c r="H29" s="224">
        <f>G29*'CPI Factor Calculations'!$D$27</f>
        <v>2865.7337882909405</v>
      </c>
      <c r="I29" s="1" t="s">
        <v>226</v>
      </c>
    </row>
    <row r="30" spans="1:9" x14ac:dyDescent="0.25">
      <c r="A30" s="117"/>
      <c r="B30" s="153" t="s">
        <v>43</v>
      </c>
      <c r="C30" s="153"/>
      <c r="D30" s="154">
        <f>SUM(D12:D29)</f>
        <v>15580827</v>
      </c>
      <c r="E30" s="154">
        <f>D30*'CPI Factor Calculations'!$D$27</f>
        <v>14883500.794471923</v>
      </c>
      <c r="F30" s="196"/>
      <c r="G30" s="117"/>
      <c r="H30" s="117"/>
    </row>
    <row r="31" spans="1:9" x14ac:dyDescent="0.25">
      <c r="A31" s="117"/>
      <c r="B31" s="117"/>
      <c r="C31" s="117"/>
      <c r="D31" s="156"/>
      <c r="E31" s="156"/>
      <c r="F31" s="196"/>
      <c r="G31" s="117"/>
      <c r="H31" s="117"/>
    </row>
    <row r="32" spans="1:9" x14ac:dyDescent="0.25">
      <c r="A32" s="117"/>
      <c r="B32" s="117" t="s">
        <v>138</v>
      </c>
      <c r="C32" s="196">
        <v>2024</v>
      </c>
      <c r="D32" s="156">
        <v>3895206</v>
      </c>
      <c r="E32" s="156">
        <f>D32*'CPI Factor Calculations'!$D$27</f>
        <v>3720874.482184534</v>
      </c>
      <c r="F32" s="158" t="s">
        <v>42</v>
      </c>
      <c r="G32" s="156"/>
      <c r="H32" s="200">
        <f>G32*'CPI Factor Calculations'!$D$27</f>
        <v>0</v>
      </c>
    </row>
    <row r="33" spans="1:9" x14ac:dyDescent="0.25">
      <c r="A33" s="117"/>
      <c r="B33" s="153" t="s">
        <v>43</v>
      </c>
      <c r="C33" s="190"/>
      <c r="D33" s="154">
        <f>D32+D30</f>
        <v>19476033</v>
      </c>
      <c r="E33" s="154">
        <f>D33*'CPI Factor Calculations'!$D$27</f>
        <v>18604375.276656456</v>
      </c>
      <c r="F33" s="196"/>
      <c r="G33" s="156"/>
      <c r="H33" s="117"/>
    </row>
    <row r="34" spans="1:9" x14ac:dyDescent="0.25">
      <c r="A34" s="117"/>
      <c r="B34" s="117"/>
      <c r="C34" s="117"/>
      <c r="D34" s="116"/>
      <c r="E34" s="116"/>
      <c r="F34" s="196"/>
      <c r="G34" s="117"/>
      <c r="H34" s="117"/>
    </row>
    <row r="35" spans="1:9" x14ac:dyDescent="0.25">
      <c r="A35" s="117"/>
      <c r="B35" s="153" t="s">
        <v>33</v>
      </c>
      <c r="C35" s="153"/>
      <c r="D35" s="154">
        <f>D33+D10</f>
        <v>23819188</v>
      </c>
      <c r="E35" s="154">
        <f>D35*'CPI Factor Calculations'!$D$27</f>
        <v>22753150.620418038</v>
      </c>
      <c r="F35" s="196"/>
      <c r="G35" s="117"/>
      <c r="H35" s="117"/>
    </row>
    <row r="36" spans="1:9" ht="37.5" customHeight="1" x14ac:dyDescent="0.25">
      <c r="A36" s="809" t="s">
        <v>364</v>
      </c>
      <c r="B36" s="809"/>
      <c r="C36" s="809"/>
      <c r="D36" s="809"/>
      <c r="E36" s="809"/>
      <c r="F36" s="809"/>
      <c r="G36" s="809"/>
      <c r="H36" s="809"/>
    </row>
    <row r="37" spans="1:9" ht="60" customHeight="1" x14ac:dyDescent="0.25">
      <c r="A37" s="805"/>
      <c r="B37" s="806"/>
      <c r="C37" s="320"/>
      <c r="D37" s="321"/>
      <c r="E37" s="321"/>
      <c r="F37" s="322"/>
      <c r="G37" s="323"/>
      <c r="H37" s="324"/>
      <c r="I37" s="319"/>
    </row>
    <row r="38" spans="1:9" x14ac:dyDescent="0.25">
      <c r="A38" s="155"/>
      <c r="B38" s="153"/>
      <c r="C38" s="153"/>
      <c r="D38" s="154"/>
      <c r="E38" s="154"/>
      <c r="F38" s="152"/>
      <c r="G38" s="156"/>
      <c r="H38" s="117"/>
    </row>
    <row r="39" spans="1:9" x14ac:dyDescent="0.25">
      <c r="A39" s="155"/>
      <c r="B39" s="153"/>
      <c r="C39" s="153"/>
      <c r="D39" s="154"/>
      <c r="E39" s="154"/>
      <c r="F39" s="152"/>
      <c r="G39" s="117"/>
      <c r="H39" s="117"/>
    </row>
    <row r="40" spans="1:9" x14ac:dyDescent="0.25">
      <c r="A40" s="155"/>
      <c r="B40" s="153"/>
      <c r="C40" s="153"/>
      <c r="D40" s="154"/>
      <c r="E40" s="154"/>
      <c r="F40" s="152"/>
      <c r="G40" s="117"/>
      <c r="H40" s="117"/>
    </row>
    <row r="41" spans="1:9" x14ac:dyDescent="0.25">
      <c r="A41" s="155"/>
      <c r="B41" s="153"/>
      <c r="C41" s="153"/>
      <c r="D41" s="154"/>
      <c r="E41" s="154"/>
      <c r="F41" s="152"/>
      <c r="G41" s="117"/>
      <c r="H41" s="117"/>
    </row>
    <row r="42" spans="1:9" x14ac:dyDescent="0.25">
      <c r="A42" s="155"/>
      <c r="B42" s="153"/>
      <c r="C42" s="153"/>
      <c r="D42" s="154"/>
      <c r="E42" s="154"/>
      <c r="F42" s="152"/>
      <c r="G42" s="117"/>
      <c r="H42" s="117"/>
    </row>
    <row r="43" spans="1:9" ht="47.25" x14ac:dyDescent="0.25">
      <c r="B43" s="11" t="s">
        <v>181</v>
      </c>
      <c r="C43" s="11"/>
    </row>
    <row r="44" spans="1:9" x14ac:dyDescent="0.25">
      <c r="B44" s="157" t="s">
        <v>103</v>
      </c>
      <c r="C44" s="157"/>
      <c r="D44" s="157"/>
      <c r="E44" s="157"/>
      <c r="F44" s="157"/>
    </row>
    <row r="45" spans="1:9" x14ac:dyDescent="0.25">
      <c r="B45" s="157"/>
      <c r="C45" s="157"/>
      <c r="D45" s="157"/>
      <c r="E45" s="157"/>
      <c r="F45" s="157"/>
    </row>
    <row r="47" spans="1:9" x14ac:dyDescent="0.25">
      <c r="B47" s="1" t="s">
        <v>149</v>
      </c>
    </row>
    <row r="134" spans="2:4" x14ac:dyDescent="0.25">
      <c r="B134" s="160" t="s">
        <v>159</v>
      </c>
      <c r="C134" s="160"/>
    </row>
    <row r="135" spans="2:4" ht="78.75" x14ac:dyDescent="0.25">
      <c r="B135" s="160" t="s">
        <v>160</v>
      </c>
      <c r="C135" s="160"/>
    </row>
    <row r="136" spans="2:4" ht="47.25" thickBot="1" x14ac:dyDescent="0.3">
      <c r="B136" s="161" t="s">
        <v>161</v>
      </c>
      <c r="C136" s="161"/>
    </row>
    <row r="137" spans="2:4" ht="39.75" thickBot="1" x14ac:dyDescent="0.3">
      <c r="B137" s="162" t="s">
        <v>162</v>
      </c>
      <c r="C137" s="191"/>
    </row>
    <row r="138" spans="2:4" ht="39.75" thickBot="1" x14ac:dyDescent="0.3">
      <c r="B138" s="163" t="s">
        <v>164</v>
      </c>
      <c r="C138" s="192"/>
    </row>
    <row r="139" spans="2:4" ht="20.25" thickBot="1" x14ac:dyDescent="0.3">
      <c r="B139" s="163" t="s">
        <v>166</v>
      </c>
      <c r="C139" s="192"/>
      <c r="D139"/>
    </row>
    <row r="140" spans="2:4" ht="20.25" thickBot="1" x14ac:dyDescent="0.3">
      <c r="B140" s="163" t="s">
        <v>167</v>
      </c>
      <c r="C140" s="163"/>
      <c r="D140" s="163" t="s">
        <v>163</v>
      </c>
    </row>
    <row r="141" spans="2:4" ht="20.25" thickBot="1" x14ac:dyDescent="0.3">
      <c r="B141" s="164" t="s">
        <v>169</v>
      </c>
      <c r="C141" s="164"/>
      <c r="D141" s="163" t="s">
        <v>165</v>
      </c>
    </row>
    <row r="142" spans="2:4" ht="20.25" thickBot="1" x14ac:dyDescent="0.3">
      <c r="B142" s="159"/>
      <c r="C142" s="159"/>
      <c r="D142" s="163" t="s">
        <v>165</v>
      </c>
    </row>
    <row r="143" spans="2:4" ht="32.25" thickBot="1" x14ac:dyDescent="0.3">
      <c r="B143" s="165" t="s">
        <v>170</v>
      </c>
      <c r="C143" s="165"/>
      <c r="D143" s="163" t="s">
        <v>168</v>
      </c>
    </row>
    <row r="144" spans="2:4" ht="20.25" thickBot="1" x14ac:dyDescent="0.3">
      <c r="D144" s="164" t="s">
        <v>168</v>
      </c>
    </row>
    <row r="145" spans="2:4" x14ac:dyDescent="0.25">
      <c r="D145"/>
    </row>
    <row r="146" spans="2:4" x14ac:dyDescent="0.25">
      <c r="D146"/>
    </row>
    <row r="148" spans="2:4" x14ac:dyDescent="0.25">
      <c r="B148" s="1" t="s">
        <v>201</v>
      </c>
    </row>
  </sheetData>
  <mergeCells count="7">
    <mergeCell ref="A37:B37"/>
    <mergeCell ref="A2:B2"/>
    <mergeCell ref="D1:E1"/>
    <mergeCell ref="G1:H1"/>
    <mergeCell ref="A3:H3"/>
    <mergeCell ref="A7:H7"/>
    <mergeCell ref="A36:H36"/>
  </mergeCells>
  <hyperlinks>
    <hyperlink ref="B143" r:id="rId1" display="http://www3.epa.gov/" xr:uid="{E0D9BF51-FE9A-43AA-A3E9-BD19F0EBBD4A}"/>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sheetPr>
  <dimension ref="B1:AD59"/>
  <sheetViews>
    <sheetView topLeftCell="O19" workbookViewId="0">
      <selection activeCell="AB42" sqref="AB42"/>
    </sheetView>
    <sheetView workbookViewId="1"/>
  </sheetViews>
  <sheetFormatPr defaultRowHeight="15.75" x14ac:dyDescent="0.25"/>
  <cols>
    <col min="1" max="1" width="2.875" customWidth="1"/>
    <col min="2" max="2" width="9.625" customWidth="1"/>
    <col min="3" max="3" width="10.625" customWidth="1"/>
    <col min="4" max="4" width="15.375" customWidth="1"/>
    <col min="5" max="5" width="13.375" customWidth="1"/>
    <col min="6" max="6" width="15.125" customWidth="1"/>
    <col min="7" max="7" width="16.375" customWidth="1"/>
    <col min="8" max="8" width="15.125" customWidth="1"/>
    <col min="9" max="9" width="4.625" customWidth="1"/>
    <col min="10" max="26" width="15.125" customWidth="1"/>
    <col min="27" max="27" width="16.125" customWidth="1"/>
    <col min="28" max="28" width="15.25" customWidth="1"/>
    <col min="29" max="29" width="12.875" customWidth="1"/>
    <col min="30" max="30" width="15.5" customWidth="1"/>
    <col min="31" max="32" width="12.125" customWidth="1"/>
  </cols>
  <sheetData>
    <row r="1" spans="2:30" ht="16.5" thickBot="1" x14ac:dyDescent="0.3">
      <c r="D1" s="810" t="s">
        <v>44</v>
      </c>
      <c r="E1" s="810"/>
      <c r="F1" s="810"/>
      <c r="G1" s="810"/>
      <c r="H1" s="810"/>
      <c r="I1" s="810"/>
      <c r="J1" s="810"/>
      <c r="K1" s="810"/>
      <c r="L1" s="810"/>
      <c r="M1" s="810"/>
      <c r="N1" s="810"/>
      <c r="O1" s="810"/>
      <c r="P1" s="810"/>
      <c r="Q1" s="810"/>
      <c r="R1" s="810"/>
      <c r="S1" s="810"/>
      <c r="T1" s="810"/>
      <c r="U1" s="810"/>
      <c r="V1" s="810"/>
      <c r="W1" s="810"/>
      <c r="X1" s="810"/>
      <c r="Y1" s="810"/>
      <c r="Z1" s="810"/>
      <c r="AA1" s="810"/>
    </row>
    <row r="2" spans="2:30" ht="31.5" customHeight="1" thickBot="1" x14ac:dyDescent="0.3">
      <c r="D2" s="815" t="s">
        <v>118</v>
      </c>
      <c r="E2" s="816"/>
      <c r="F2" s="817"/>
      <c r="G2" s="818" t="s">
        <v>132</v>
      </c>
      <c r="H2" s="819"/>
      <c r="I2" s="819"/>
      <c r="J2" s="819"/>
      <c r="K2" s="819"/>
      <c r="L2" s="819"/>
      <c r="M2" s="819"/>
      <c r="N2" s="819"/>
      <c r="O2" s="819"/>
      <c r="P2" s="819"/>
      <c r="Q2" s="819"/>
      <c r="R2" s="819"/>
      <c r="S2" s="819"/>
      <c r="T2" s="819"/>
      <c r="U2" s="819"/>
      <c r="V2" s="819"/>
      <c r="W2" s="819"/>
      <c r="X2" s="819"/>
      <c r="Y2" s="819"/>
      <c r="Z2" s="820"/>
      <c r="AA2" s="25" t="s">
        <v>121</v>
      </c>
      <c r="AB2" s="247"/>
      <c r="AC2" s="177" t="s">
        <v>176</v>
      </c>
      <c r="AD2" s="178"/>
    </row>
    <row r="3" spans="2:30" ht="17.25" customHeight="1" x14ac:dyDescent="0.25">
      <c r="D3" s="821" t="s">
        <v>177</v>
      </c>
      <c r="E3" s="823" t="s">
        <v>92</v>
      </c>
      <c r="F3" s="825" t="s">
        <v>102</v>
      </c>
      <c r="G3" s="821" t="s">
        <v>140</v>
      </c>
      <c r="H3" s="827" t="s">
        <v>175</v>
      </c>
      <c r="I3" s="831" t="s">
        <v>92</v>
      </c>
      <c r="J3" s="829" t="s">
        <v>173</v>
      </c>
      <c r="K3" s="823" t="s">
        <v>174</v>
      </c>
      <c r="L3" s="823" t="s">
        <v>134</v>
      </c>
      <c r="M3" s="823" t="s">
        <v>135</v>
      </c>
      <c r="N3" s="823" t="s">
        <v>143</v>
      </c>
      <c r="O3" s="823" t="s">
        <v>144</v>
      </c>
      <c r="P3" s="823" t="s">
        <v>142</v>
      </c>
      <c r="Q3" s="833" t="s">
        <v>136</v>
      </c>
      <c r="R3" s="834"/>
      <c r="S3" s="834"/>
      <c r="T3" s="835"/>
      <c r="U3" s="836" t="s">
        <v>137</v>
      </c>
      <c r="V3" s="837"/>
      <c r="W3" s="837"/>
      <c r="X3" s="837"/>
      <c r="Y3" s="838"/>
      <c r="Z3" s="827" t="s">
        <v>171</v>
      </c>
      <c r="AA3" s="839" t="s">
        <v>363</v>
      </c>
      <c r="AB3" s="248"/>
      <c r="AC3" s="179" t="s">
        <v>34</v>
      </c>
      <c r="AD3" s="180">
        <v>2020</v>
      </c>
    </row>
    <row r="4" spans="2:30" ht="52.5" customHeight="1" thickBot="1" x14ac:dyDescent="0.3">
      <c r="D4" s="822"/>
      <c r="E4" s="824"/>
      <c r="F4" s="826"/>
      <c r="G4" s="822"/>
      <c r="H4" s="828"/>
      <c r="I4" s="832"/>
      <c r="J4" s="830"/>
      <c r="K4" s="824"/>
      <c r="L4" s="824"/>
      <c r="M4" s="824"/>
      <c r="N4" s="824"/>
      <c r="O4" s="824"/>
      <c r="P4" s="824"/>
      <c r="Q4" s="170" t="s">
        <v>150</v>
      </c>
      <c r="R4" s="170" t="s">
        <v>151</v>
      </c>
      <c r="S4" s="170" t="s">
        <v>152</v>
      </c>
      <c r="T4" s="170" t="s">
        <v>153</v>
      </c>
      <c r="U4" s="171" t="s">
        <v>154</v>
      </c>
      <c r="V4" s="171" t="s">
        <v>158</v>
      </c>
      <c r="W4" s="171" t="s">
        <v>155</v>
      </c>
      <c r="X4" s="171" t="s">
        <v>156</v>
      </c>
      <c r="Y4" s="171" t="s">
        <v>172</v>
      </c>
      <c r="Z4" s="828"/>
      <c r="AA4" s="840"/>
      <c r="AB4" s="249"/>
      <c r="AC4" s="181"/>
      <c r="AD4" s="182"/>
    </row>
    <row r="5" spans="2:30" ht="33" customHeight="1" thickBot="1" x14ac:dyDescent="0.3">
      <c r="C5" s="119" t="s">
        <v>45</v>
      </c>
      <c r="D5" s="76">
        <v>125</v>
      </c>
      <c r="E5" s="120"/>
      <c r="F5" s="167"/>
      <c r="G5" s="168" t="str">
        <f>CostItems!F8</f>
        <v>-</v>
      </c>
      <c r="H5" s="169" t="str">
        <f>CostItems!F9</f>
        <v>-</v>
      </c>
      <c r="I5" s="832"/>
      <c r="J5" s="173" t="str">
        <f>CostItems!$F12</f>
        <v>-</v>
      </c>
      <c r="K5" s="172">
        <f>CostItems!$F13</f>
        <v>100</v>
      </c>
      <c r="L5" s="172">
        <f>CostItems!$F14</f>
        <v>30</v>
      </c>
      <c r="M5" s="172">
        <f>CostItems!$F15</f>
        <v>75</v>
      </c>
      <c r="N5" s="172">
        <f>CostItems!$F16</f>
        <v>5</v>
      </c>
      <c r="O5" s="172">
        <f>CostItems!$F17</f>
        <v>20</v>
      </c>
      <c r="P5" s="172">
        <f>CostItems!$F18</f>
        <v>20</v>
      </c>
      <c r="Q5" s="172">
        <f>CostItems!$F20</f>
        <v>30</v>
      </c>
      <c r="R5" s="172">
        <f>CostItems!$F21</f>
        <v>10</v>
      </c>
      <c r="S5" s="172">
        <f>CostItems!$F22</f>
        <v>10</v>
      </c>
      <c r="T5" s="172">
        <f>CostItems!$F23</f>
        <v>20</v>
      </c>
      <c r="U5" s="172">
        <f>CostItems!$F25</f>
        <v>100</v>
      </c>
      <c r="V5" s="172">
        <f>CostItems!$F26</f>
        <v>100</v>
      </c>
      <c r="W5" s="172">
        <f>CostItems!$F27</f>
        <v>100</v>
      </c>
      <c r="X5" s="172">
        <f>CostItems!$F28</f>
        <v>50</v>
      </c>
      <c r="Y5" s="172">
        <f>CostItems!$F29</f>
        <v>20</v>
      </c>
      <c r="Z5" s="169" t="str">
        <f>CostItems!$F32</f>
        <v>-</v>
      </c>
      <c r="AA5" s="250"/>
      <c r="AB5" s="118" t="s">
        <v>104</v>
      </c>
      <c r="AC5" s="25" t="s">
        <v>35</v>
      </c>
      <c r="AD5" s="25" t="s">
        <v>36</v>
      </c>
    </row>
    <row r="6" spans="2:30" ht="33" customHeight="1" x14ac:dyDescent="0.25">
      <c r="B6" s="77"/>
      <c r="C6" s="16">
        <v>2021</v>
      </c>
      <c r="D6" s="14"/>
      <c r="E6" s="90"/>
      <c r="F6" s="184"/>
      <c r="G6" s="72"/>
      <c r="H6" s="49"/>
      <c r="I6" s="832"/>
      <c r="J6" s="72"/>
      <c r="K6" s="48"/>
      <c r="L6" s="48"/>
      <c r="M6" s="48"/>
      <c r="N6" s="48"/>
      <c r="O6" s="48"/>
      <c r="P6" s="48"/>
      <c r="Q6" s="48"/>
      <c r="R6" s="48"/>
      <c r="S6" s="48"/>
      <c r="T6" s="48"/>
      <c r="U6" s="48"/>
      <c r="V6" s="48"/>
      <c r="W6" s="48"/>
      <c r="X6" s="48"/>
      <c r="Y6" s="48"/>
      <c r="Z6" s="49"/>
      <c r="AA6" s="251"/>
      <c r="AB6" s="131"/>
      <c r="AC6" s="81"/>
      <c r="AD6" s="81"/>
    </row>
    <row r="7" spans="2:30" x14ac:dyDescent="0.25">
      <c r="B7" s="78"/>
      <c r="C7" s="16">
        <v>2022</v>
      </c>
      <c r="D7" s="121"/>
      <c r="E7" s="20"/>
      <c r="F7" s="185"/>
      <c r="G7" s="128">
        <f>CostItems!E8</f>
        <v>2790656.3392606983</v>
      </c>
      <c r="H7" s="93"/>
      <c r="I7" s="832"/>
      <c r="J7" s="128"/>
      <c r="K7" s="92"/>
      <c r="L7" s="92"/>
      <c r="M7" s="92"/>
      <c r="N7" s="92"/>
      <c r="O7" s="92"/>
      <c r="P7" s="92"/>
      <c r="Q7" s="92"/>
      <c r="R7" s="92"/>
      <c r="S7" s="92"/>
      <c r="T7" s="92"/>
      <c r="U7" s="92"/>
      <c r="V7" s="92"/>
      <c r="W7" s="92"/>
      <c r="X7" s="92"/>
      <c r="Y7" s="92"/>
      <c r="Z7" s="93"/>
      <c r="AA7" s="84"/>
      <c r="AB7" s="46">
        <f t="shared" ref="AB7:AB39" si="0">SUM(D7:AA7)</f>
        <v>2790656.3392606983</v>
      </c>
      <c r="AC7" s="21">
        <f>$AB7*(1+0.07)^-(C7-$AD$3)</f>
        <v>2437467.3240114404</v>
      </c>
      <c r="AD7" s="21">
        <f>$AB7*(1+0.03)^-(C7-$AD$3)</f>
        <v>2630461.2491853125</v>
      </c>
    </row>
    <row r="8" spans="2:30" x14ac:dyDescent="0.25">
      <c r="B8" s="78"/>
      <c r="C8" s="16">
        <v>2023</v>
      </c>
      <c r="D8" s="121"/>
      <c r="E8" s="20"/>
      <c r="F8" s="185"/>
      <c r="G8" s="128"/>
      <c r="H8" s="93">
        <f>CostItems!E9/2</f>
        <v>679059.50225044077</v>
      </c>
      <c r="I8" s="832"/>
      <c r="J8" s="128"/>
      <c r="K8" s="92"/>
      <c r="L8" s="92"/>
      <c r="M8" s="92"/>
      <c r="N8" s="92"/>
      <c r="O8" s="92"/>
      <c r="P8" s="92"/>
      <c r="Q8" s="92"/>
      <c r="R8" s="92"/>
      <c r="S8" s="92"/>
      <c r="T8" s="92"/>
      <c r="U8" s="92"/>
      <c r="V8" s="92"/>
      <c r="W8" s="92"/>
      <c r="X8" s="92"/>
      <c r="Y8" s="92"/>
      <c r="Z8" s="93"/>
      <c r="AA8" s="84"/>
      <c r="AB8" s="82">
        <f t="shared" si="0"/>
        <v>679059.50225044077</v>
      </c>
      <c r="AC8" s="23">
        <f>$AB8*(1+0.07)^-(C8-$AD$3)</f>
        <v>554314.82996959344</v>
      </c>
      <c r="AD8" s="23">
        <f>$AB8*(1+0.03)^-(C8-$AD$3)</f>
        <v>621435.63968899904</v>
      </c>
    </row>
    <row r="9" spans="2:30" ht="16.5" thickBot="1" x14ac:dyDescent="0.3">
      <c r="B9" s="79"/>
      <c r="C9" s="15">
        <v>2024</v>
      </c>
      <c r="D9" s="122"/>
      <c r="E9" s="17"/>
      <c r="F9" s="186"/>
      <c r="G9" s="111"/>
      <c r="H9" s="95">
        <f>H8</f>
        <v>679059.50225044077</v>
      </c>
      <c r="I9" s="832"/>
      <c r="J9" s="111">
        <f>CostItems!$E12</f>
        <v>2105645.6631765733</v>
      </c>
      <c r="K9" s="94">
        <f>CostItems!$E13</f>
        <v>1426489.6812219268</v>
      </c>
      <c r="L9" s="94">
        <f>CostItems!$E14</f>
        <v>4034711.4970308319</v>
      </c>
      <c r="M9" s="94">
        <f>CostItems!$E15</f>
        <v>2349901.7063985714</v>
      </c>
      <c r="N9" s="94">
        <f>CostItems!$E16</f>
        <v>20825.287439510266</v>
      </c>
      <c r="O9" s="94">
        <f>CostItems!$E17</f>
        <v>24554.562342672874</v>
      </c>
      <c r="P9" s="94">
        <f>CostItems!$E18</f>
        <v>98041.529120413557</v>
      </c>
      <c r="Q9" s="94">
        <f>CostItems!$E20</f>
        <v>478577.54264458705</v>
      </c>
      <c r="R9" s="94">
        <f>CostItems!$E21</f>
        <v>105076.90557066782</v>
      </c>
      <c r="S9" s="94">
        <f>CostItems!$E22</f>
        <v>160337.80545487814</v>
      </c>
      <c r="T9" s="94">
        <f>CostItems!$E23</f>
        <v>218798.77473601332</v>
      </c>
      <c r="U9" s="94">
        <f>CostItems!$E25</f>
        <v>1125196.9384115743</v>
      </c>
      <c r="V9" s="94">
        <f>CostItems!$E26</f>
        <v>1878703.4282588335</v>
      </c>
      <c r="W9" s="94">
        <f>CostItems!$E27</f>
        <v>415794.09156611306</v>
      </c>
      <c r="X9" s="94">
        <f>CostItems!$E28</f>
        <v>190905.63252998149</v>
      </c>
      <c r="Y9" s="94">
        <f>CostItems!$E29</f>
        <v>249939.74856877487</v>
      </c>
      <c r="Z9" s="95">
        <f>CostItems!$E22</f>
        <v>160337.80545487814</v>
      </c>
      <c r="AA9" s="85"/>
      <c r="AB9" s="47">
        <f t="shared" si="0"/>
        <v>15722898.102177242</v>
      </c>
      <c r="AC9" s="22">
        <f>$AB9*(1+0.07)^-(C9-$AD$3)</f>
        <v>11994923.681662139</v>
      </c>
      <c r="AD9" s="22">
        <f>$AB9*(1+0.03)^-(C9-$AD$3)</f>
        <v>13969591.319482647</v>
      </c>
    </row>
    <row r="10" spans="2:30" x14ac:dyDescent="0.25">
      <c r="B10" s="80">
        <v>1</v>
      </c>
      <c r="C10" s="75">
        <v>2025</v>
      </c>
      <c r="D10" s="123"/>
      <c r="E10" s="19"/>
      <c r="F10" s="187"/>
      <c r="G10" s="112"/>
      <c r="H10" s="110"/>
      <c r="I10" s="832"/>
      <c r="J10" s="112"/>
      <c r="K10" s="98"/>
      <c r="L10" s="98"/>
      <c r="M10" s="98"/>
      <c r="N10" s="98"/>
      <c r="O10" s="98"/>
      <c r="P10" s="98"/>
      <c r="Q10" s="98"/>
      <c r="R10" s="98"/>
      <c r="S10" s="98"/>
      <c r="T10" s="98"/>
      <c r="U10" s="98"/>
      <c r="V10" s="98"/>
      <c r="W10" s="98"/>
      <c r="X10" s="98"/>
      <c r="Y10" s="98"/>
      <c r="Z10" s="110"/>
      <c r="AA10" s="83"/>
      <c r="AB10" s="46">
        <f t="shared" si="0"/>
        <v>0</v>
      </c>
      <c r="AC10" s="21">
        <f>$AB10*(1+0.07)^-(C10-$AD$3)</f>
        <v>0</v>
      </c>
      <c r="AD10" s="21">
        <f>$AB10*(1+0.03)^-(C10-$AD$3)</f>
        <v>0</v>
      </c>
    </row>
    <row r="11" spans="2:30" x14ac:dyDescent="0.25">
      <c r="B11" s="80">
        <f t="shared" ref="B11:B39" si="1">B10+1</f>
        <v>2</v>
      </c>
      <c r="C11" s="75">
        <f t="shared" ref="C11:C39" si="2">C10+1</f>
        <v>2026</v>
      </c>
      <c r="D11" s="124"/>
      <c r="E11" s="89"/>
      <c r="F11" s="188"/>
      <c r="G11" s="128"/>
      <c r="H11" s="93"/>
      <c r="I11" s="832"/>
      <c r="J11" s="129"/>
      <c r="K11" s="96"/>
      <c r="L11" s="96"/>
      <c r="M11" s="96"/>
      <c r="N11" s="96"/>
      <c r="O11" s="96"/>
      <c r="P11" s="96"/>
      <c r="Q11" s="96"/>
      <c r="R11" s="96"/>
      <c r="S11" s="96"/>
      <c r="T11" s="96"/>
      <c r="U11" s="96"/>
      <c r="V11" s="96"/>
      <c r="W11" s="96"/>
      <c r="X11" s="96"/>
      <c r="Y11" s="96"/>
      <c r="Z11" s="109"/>
      <c r="AA11" s="86"/>
      <c r="AB11" s="46">
        <f t="shared" si="0"/>
        <v>0</v>
      </c>
      <c r="AC11" s="21"/>
      <c r="AD11" s="21"/>
    </row>
    <row r="12" spans="2:30" x14ac:dyDescent="0.25">
      <c r="B12" s="80">
        <f t="shared" si="1"/>
        <v>3</v>
      </c>
      <c r="C12" s="75">
        <f t="shared" si="2"/>
        <v>2027</v>
      </c>
      <c r="D12" s="124"/>
      <c r="E12" s="89"/>
      <c r="F12" s="188"/>
      <c r="G12" s="128"/>
      <c r="H12" s="93"/>
      <c r="I12" s="832"/>
      <c r="J12" s="129"/>
      <c r="K12" s="96"/>
      <c r="L12" s="96"/>
      <c r="M12" s="96"/>
      <c r="N12" s="96"/>
      <c r="O12" s="96"/>
      <c r="P12" s="96"/>
      <c r="Q12" s="96"/>
      <c r="R12" s="96"/>
      <c r="S12" s="96"/>
      <c r="T12" s="96"/>
      <c r="U12" s="96"/>
      <c r="V12" s="96"/>
      <c r="W12" s="96"/>
      <c r="X12" s="96"/>
      <c r="Y12" s="96"/>
      <c r="Z12" s="109"/>
      <c r="AA12" s="86"/>
      <c r="AB12" s="46">
        <f t="shared" si="0"/>
        <v>0</v>
      </c>
      <c r="AC12" s="21"/>
      <c r="AD12" s="21"/>
    </row>
    <row r="13" spans="2:30" x14ac:dyDescent="0.25">
      <c r="B13" s="80">
        <f t="shared" si="1"/>
        <v>4</v>
      </c>
      <c r="C13" s="75">
        <f t="shared" si="2"/>
        <v>2028</v>
      </c>
      <c r="D13" s="124"/>
      <c r="E13" s="89"/>
      <c r="F13" s="188"/>
      <c r="G13" s="128"/>
      <c r="H13" s="93"/>
      <c r="I13" s="832"/>
      <c r="J13" s="129"/>
      <c r="K13" s="96"/>
      <c r="L13" s="96"/>
      <c r="M13" s="96"/>
      <c r="N13" s="96"/>
      <c r="O13" s="96"/>
      <c r="P13" s="96"/>
      <c r="Q13" s="96"/>
      <c r="R13" s="96"/>
      <c r="S13" s="96"/>
      <c r="T13" s="96"/>
      <c r="U13" s="96"/>
      <c r="V13" s="96"/>
      <c r="W13" s="96"/>
      <c r="X13" s="96"/>
      <c r="Y13" s="96"/>
      <c r="Z13" s="109"/>
      <c r="AA13" s="86"/>
      <c r="AB13" s="46">
        <f t="shared" si="0"/>
        <v>0</v>
      </c>
      <c r="AC13" s="21"/>
      <c r="AD13" s="21"/>
    </row>
    <row r="14" spans="2:30" x14ac:dyDescent="0.25">
      <c r="B14" s="80">
        <f t="shared" si="1"/>
        <v>5</v>
      </c>
      <c r="C14" s="75">
        <f t="shared" si="2"/>
        <v>2029</v>
      </c>
      <c r="D14" s="124"/>
      <c r="E14" s="89"/>
      <c r="F14" s="188"/>
      <c r="G14" s="128"/>
      <c r="H14" s="93"/>
      <c r="I14" s="832"/>
      <c r="J14" s="129"/>
      <c r="K14" s="96"/>
      <c r="L14" s="96"/>
      <c r="M14" s="96"/>
      <c r="N14" s="96">
        <f>N9</f>
        <v>20825.287439510266</v>
      </c>
      <c r="O14" s="96"/>
      <c r="P14" s="96"/>
      <c r="Q14" s="96"/>
      <c r="R14" s="96"/>
      <c r="S14" s="96"/>
      <c r="T14" s="96"/>
      <c r="U14" s="96"/>
      <c r="V14" s="96"/>
      <c r="W14" s="96"/>
      <c r="X14" s="96"/>
      <c r="Y14" s="96"/>
      <c r="Z14" s="109"/>
      <c r="AA14" s="86"/>
      <c r="AB14" s="46">
        <f t="shared" si="0"/>
        <v>20825.287439510266</v>
      </c>
      <c r="AC14" s="21"/>
      <c r="AD14" s="21"/>
    </row>
    <row r="15" spans="2:30" x14ac:dyDescent="0.25">
      <c r="B15" s="80">
        <f t="shared" si="1"/>
        <v>6</v>
      </c>
      <c r="C15" s="75">
        <f t="shared" si="2"/>
        <v>2030</v>
      </c>
      <c r="D15" s="124"/>
      <c r="E15" s="89"/>
      <c r="F15" s="188"/>
      <c r="G15" s="128"/>
      <c r="H15" s="93"/>
      <c r="I15" s="832"/>
      <c r="J15" s="129"/>
      <c r="K15" s="96"/>
      <c r="L15" s="96"/>
      <c r="M15" s="96"/>
      <c r="N15" s="96"/>
      <c r="O15" s="96"/>
      <c r="P15" s="96"/>
      <c r="Q15" s="96"/>
      <c r="R15" s="96"/>
      <c r="S15" s="96"/>
      <c r="T15" s="96"/>
      <c r="U15" s="96"/>
      <c r="V15" s="96"/>
      <c r="W15" s="96"/>
      <c r="X15" s="96"/>
      <c r="Y15" s="96"/>
      <c r="Z15" s="109"/>
      <c r="AA15" s="86"/>
      <c r="AB15" s="46">
        <f t="shared" si="0"/>
        <v>0</v>
      </c>
      <c r="AC15" s="21"/>
      <c r="AD15" s="21"/>
    </row>
    <row r="16" spans="2:30" x14ac:dyDescent="0.25">
      <c r="B16" s="80">
        <f t="shared" si="1"/>
        <v>7</v>
      </c>
      <c r="C16" s="75">
        <f t="shared" si="2"/>
        <v>2031</v>
      </c>
      <c r="D16" s="124"/>
      <c r="E16" s="89"/>
      <c r="F16" s="188"/>
      <c r="G16" s="128"/>
      <c r="H16" s="93"/>
      <c r="I16" s="832"/>
      <c r="J16" s="129"/>
      <c r="K16" s="96"/>
      <c r="L16" s="96"/>
      <c r="M16" s="96"/>
      <c r="N16" s="96"/>
      <c r="O16" s="96"/>
      <c r="P16" s="96"/>
      <c r="Q16" s="96"/>
      <c r="R16" s="96"/>
      <c r="S16" s="96"/>
      <c r="T16" s="96"/>
      <c r="U16" s="96"/>
      <c r="V16" s="96"/>
      <c r="W16" s="96"/>
      <c r="X16" s="96"/>
      <c r="Y16" s="96"/>
      <c r="Z16" s="109"/>
      <c r="AA16" s="86"/>
      <c r="AB16" s="46">
        <f t="shared" si="0"/>
        <v>0</v>
      </c>
      <c r="AC16" s="21"/>
      <c r="AD16" s="21"/>
    </row>
    <row r="17" spans="2:30" x14ac:dyDescent="0.25">
      <c r="B17" s="80">
        <f t="shared" si="1"/>
        <v>8</v>
      </c>
      <c r="C17" s="75">
        <f t="shared" si="2"/>
        <v>2032</v>
      </c>
      <c r="D17" s="124"/>
      <c r="E17" s="89"/>
      <c r="F17" s="188"/>
      <c r="G17" s="128"/>
      <c r="H17" s="93"/>
      <c r="I17" s="832"/>
      <c r="J17" s="129"/>
      <c r="K17" s="96"/>
      <c r="L17" s="96"/>
      <c r="M17" s="96"/>
      <c r="N17" s="96"/>
      <c r="O17" s="96"/>
      <c r="P17" s="96"/>
      <c r="Q17" s="96"/>
      <c r="R17" s="96"/>
      <c r="S17" s="96"/>
      <c r="T17" s="96"/>
      <c r="U17" s="96"/>
      <c r="V17" s="96"/>
      <c r="W17" s="96"/>
      <c r="X17" s="96"/>
      <c r="Y17" s="96"/>
      <c r="Z17" s="109"/>
      <c r="AA17" s="86"/>
      <c r="AB17" s="46">
        <f t="shared" si="0"/>
        <v>0</v>
      </c>
      <c r="AC17" s="21"/>
      <c r="AD17" s="21"/>
    </row>
    <row r="18" spans="2:30" x14ac:dyDescent="0.25">
      <c r="B18" s="80">
        <f t="shared" si="1"/>
        <v>9</v>
      </c>
      <c r="C18" s="75">
        <f t="shared" si="2"/>
        <v>2033</v>
      </c>
      <c r="D18" s="124"/>
      <c r="E18" s="89"/>
      <c r="F18" s="188"/>
      <c r="G18" s="128"/>
      <c r="H18" s="93"/>
      <c r="I18" s="832"/>
      <c r="J18" s="129"/>
      <c r="K18" s="96"/>
      <c r="L18" s="96"/>
      <c r="M18" s="96"/>
      <c r="N18" s="96"/>
      <c r="O18" s="96"/>
      <c r="P18" s="96"/>
      <c r="Q18" s="96"/>
      <c r="R18" s="96"/>
      <c r="S18" s="96"/>
      <c r="T18" s="96"/>
      <c r="U18" s="96"/>
      <c r="V18" s="96"/>
      <c r="W18" s="96"/>
      <c r="X18" s="96"/>
      <c r="Y18" s="96"/>
      <c r="Z18" s="109"/>
      <c r="AA18" s="86"/>
      <c r="AB18" s="46">
        <f t="shared" si="0"/>
        <v>0</v>
      </c>
      <c r="AC18" s="21"/>
      <c r="AD18" s="21"/>
    </row>
    <row r="19" spans="2:30" x14ac:dyDescent="0.25">
      <c r="B19" s="80">
        <f t="shared" si="1"/>
        <v>10</v>
      </c>
      <c r="C19" s="75">
        <f t="shared" si="2"/>
        <v>2034</v>
      </c>
      <c r="D19" s="124"/>
      <c r="E19" s="89"/>
      <c r="F19" s="188"/>
      <c r="G19" s="128"/>
      <c r="H19" s="93"/>
      <c r="I19" s="832"/>
      <c r="J19" s="129"/>
      <c r="K19" s="96"/>
      <c r="L19" s="96"/>
      <c r="M19" s="96"/>
      <c r="N19" s="96">
        <f>N9</f>
        <v>20825.287439510266</v>
      </c>
      <c r="O19" s="96"/>
      <c r="P19" s="96"/>
      <c r="Q19" s="96"/>
      <c r="R19" s="96">
        <f>R9</f>
        <v>105076.90557066782</v>
      </c>
      <c r="S19" s="96">
        <f>S9</f>
        <v>160337.80545487814</v>
      </c>
      <c r="T19" s="96"/>
      <c r="U19" s="96"/>
      <c r="V19" s="96"/>
      <c r="W19" s="96"/>
      <c r="X19" s="96"/>
      <c r="Y19" s="96"/>
      <c r="Z19" s="109">
        <f>Z9</f>
        <v>160337.80545487814</v>
      </c>
      <c r="AA19" s="86"/>
      <c r="AB19" s="46">
        <f t="shared" si="0"/>
        <v>446577.80391993438</v>
      </c>
      <c r="AC19" s="21"/>
      <c r="AD19" s="21"/>
    </row>
    <row r="20" spans="2:30" x14ac:dyDescent="0.25">
      <c r="B20" s="80">
        <f t="shared" si="1"/>
        <v>11</v>
      </c>
      <c r="C20" s="75">
        <f t="shared" si="2"/>
        <v>2035</v>
      </c>
      <c r="D20" s="124"/>
      <c r="E20" s="89"/>
      <c r="F20" s="188"/>
      <c r="G20" s="128"/>
      <c r="H20" s="93"/>
      <c r="I20" s="832"/>
      <c r="J20" s="129"/>
      <c r="K20" s="96"/>
      <c r="L20" s="96"/>
      <c r="M20" s="96"/>
      <c r="N20" s="96"/>
      <c r="O20" s="96"/>
      <c r="P20" s="96"/>
      <c r="Q20" s="96"/>
      <c r="R20" s="96"/>
      <c r="S20" s="96"/>
      <c r="T20" s="96"/>
      <c r="U20" s="96"/>
      <c r="V20" s="96"/>
      <c r="W20" s="96"/>
      <c r="X20" s="96"/>
      <c r="Y20" s="96"/>
      <c r="Z20" s="109"/>
      <c r="AA20" s="86"/>
      <c r="AB20" s="46">
        <f t="shared" si="0"/>
        <v>0</v>
      </c>
      <c r="AC20" s="21"/>
      <c r="AD20" s="21"/>
    </row>
    <row r="21" spans="2:30" x14ac:dyDescent="0.25">
      <c r="B21" s="80">
        <f t="shared" si="1"/>
        <v>12</v>
      </c>
      <c r="C21" s="75">
        <f t="shared" si="2"/>
        <v>2036</v>
      </c>
      <c r="D21" s="124"/>
      <c r="E21" s="89"/>
      <c r="F21" s="188"/>
      <c r="G21" s="128"/>
      <c r="H21" s="93"/>
      <c r="I21" s="832"/>
      <c r="J21" s="129"/>
      <c r="K21" s="96"/>
      <c r="L21" s="96"/>
      <c r="M21" s="96"/>
      <c r="N21" s="96"/>
      <c r="O21" s="96"/>
      <c r="P21" s="96"/>
      <c r="Q21" s="96"/>
      <c r="R21" s="96"/>
      <c r="S21" s="96"/>
      <c r="T21" s="96"/>
      <c r="U21" s="96"/>
      <c r="V21" s="96"/>
      <c r="W21" s="96"/>
      <c r="X21" s="96"/>
      <c r="Y21" s="96"/>
      <c r="Z21" s="109"/>
      <c r="AA21" s="86"/>
      <c r="AB21" s="82">
        <f t="shared" si="0"/>
        <v>0</v>
      </c>
      <c r="AC21" s="23">
        <f t="shared" ref="AC21:AC39" si="3">$AB21*(1+0.07)^-(C21-$AD$3)</f>
        <v>0</v>
      </c>
      <c r="AD21" s="23">
        <f t="shared" ref="AD21:AD39" si="4">$AB21*(1+0.03)^-(C21-$AD$3)</f>
        <v>0</v>
      </c>
    </row>
    <row r="22" spans="2:30" x14ac:dyDescent="0.25">
      <c r="B22" s="80">
        <f t="shared" si="1"/>
        <v>13</v>
      </c>
      <c r="C22" s="75">
        <f t="shared" si="2"/>
        <v>2037</v>
      </c>
      <c r="D22" s="121"/>
      <c r="E22" s="20"/>
      <c r="F22" s="185"/>
      <c r="G22" s="128"/>
      <c r="H22" s="93"/>
      <c r="I22" s="832"/>
      <c r="J22" s="128"/>
      <c r="K22" s="92"/>
      <c r="L22" s="92"/>
      <c r="M22" s="92"/>
      <c r="N22" s="92"/>
      <c r="O22" s="92"/>
      <c r="P22" s="92"/>
      <c r="Q22" s="92"/>
      <c r="R22" s="92"/>
      <c r="S22" s="92"/>
      <c r="T22" s="92"/>
      <c r="U22" s="92"/>
      <c r="V22" s="92"/>
      <c r="W22" s="92"/>
      <c r="X22" s="92"/>
      <c r="Y22" s="92"/>
      <c r="Z22" s="93"/>
      <c r="AA22" s="84"/>
      <c r="AB22" s="82">
        <f t="shared" si="0"/>
        <v>0</v>
      </c>
      <c r="AC22" s="23">
        <f t="shared" si="3"/>
        <v>0</v>
      </c>
      <c r="AD22" s="23">
        <f t="shared" si="4"/>
        <v>0</v>
      </c>
    </row>
    <row r="23" spans="2:30" x14ac:dyDescent="0.25">
      <c r="B23" s="80">
        <f t="shared" si="1"/>
        <v>14</v>
      </c>
      <c r="C23" s="75">
        <f t="shared" si="2"/>
        <v>2038</v>
      </c>
      <c r="D23" s="121"/>
      <c r="E23" s="20"/>
      <c r="F23" s="185"/>
      <c r="G23" s="128"/>
      <c r="H23" s="93"/>
      <c r="I23" s="832"/>
      <c r="J23" s="128"/>
      <c r="K23" s="92"/>
      <c r="L23" s="92"/>
      <c r="M23" s="92"/>
      <c r="N23" s="92"/>
      <c r="O23" s="92"/>
      <c r="P23" s="92"/>
      <c r="Q23" s="92"/>
      <c r="R23" s="92"/>
      <c r="S23" s="92"/>
      <c r="T23" s="92"/>
      <c r="U23" s="92"/>
      <c r="V23" s="92"/>
      <c r="W23" s="92"/>
      <c r="X23" s="92"/>
      <c r="Y23" s="92"/>
      <c r="Z23" s="93"/>
      <c r="AA23" s="84"/>
      <c r="AB23" s="82">
        <f t="shared" si="0"/>
        <v>0</v>
      </c>
      <c r="AC23" s="23">
        <f t="shared" si="3"/>
        <v>0</v>
      </c>
      <c r="AD23" s="23">
        <f t="shared" si="4"/>
        <v>0</v>
      </c>
    </row>
    <row r="24" spans="2:30" x14ac:dyDescent="0.25">
      <c r="B24" s="80">
        <f t="shared" si="1"/>
        <v>15</v>
      </c>
      <c r="C24" s="75">
        <f t="shared" si="2"/>
        <v>2039</v>
      </c>
      <c r="D24" s="121"/>
      <c r="E24" s="20"/>
      <c r="F24" s="185"/>
      <c r="G24" s="128"/>
      <c r="H24" s="93"/>
      <c r="I24" s="832"/>
      <c r="J24" s="128"/>
      <c r="K24" s="92"/>
      <c r="L24" s="92"/>
      <c r="M24" s="92"/>
      <c r="N24" s="92">
        <f>N9</f>
        <v>20825.287439510266</v>
      </c>
      <c r="O24" s="92"/>
      <c r="P24" s="92"/>
      <c r="Q24" s="92"/>
      <c r="R24" s="92"/>
      <c r="S24" s="92"/>
      <c r="T24" s="92"/>
      <c r="U24" s="92"/>
      <c r="V24" s="92"/>
      <c r="W24" s="92"/>
      <c r="X24" s="92"/>
      <c r="Y24" s="92"/>
      <c r="Z24" s="93"/>
      <c r="AA24" s="84"/>
      <c r="AB24" s="82">
        <f t="shared" si="0"/>
        <v>20825.287439510266</v>
      </c>
      <c r="AC24" s="23">
        <f t="shared" si="3"/>
        <v>5758.3655143705573</v>
      </c>
      <c r="AD24" s="23">
        <f t="shared" si="4"/>
        <v>11876.370431094596</v>
      </c>
    </row>
    <row r="25" spans="2:30" x14ac:dyDescent="0.25">
      <c r="B25" s="80">
        <f t="shared" si="1"/>
        <v>16</v>
      </c>
      <c r="C25" s="75">
        <f t="shared" si="2"/>
        <v>2040</v>
      </c>
      <c r="D25" s="121"/>
      <c r="E25" s="20"/>
      <c r="F25" s="185"/>
      <c r="G25" s="128"/>
      <c r="H25" s="93"/>
      <c r="I25" s="832"/>
      <c r="J25" s="128"/>
      <c r="K25" s="92"/>
      <c r="L25" s="92"/>
      <c r="M25" s="92"/>
      <c r="N25" s="92"/>
      <c r="O25" s="92"/>
      <c r="P25" s="92"/>
      <c r="Q25" s="92"/>
      <c r="R25" s="92"/>
      <c r="S25" s="92"/>
      <c r="T25" s="92"/>
      <c r="U25" s="92"/>
      <c r="V25" s="92"/>
      <c r="W25" s="92"/>
      <c r="X25" s="92"/>
      <c r="Y25" s="92"/>
      <c r="Z25" s="93"/>
      <c r="AA25" s="84"/>
      <c r="AB25" s="82">
        <f t="shared" si="0"/>
        <v>0</v>
      </c>
      <c r="AC25" s="23">
        <f t="shared" si="3"/>
        <v>0</v>
      </c>
      <c r="AD25" s="23">
        <f t="shared" si="4"/>
        <v>0</v>
      </c>
    </row>
    <row r="26" spans="2:30" x14ac:dyDescent="0.25">
      <c r="B26" s="80">
        <f t="shared" si="1"/>
        <v>17</v>
      </c>
      <c r="C26" s="75">
        <f t="shared" si="2"/>
        <v>2041</v>
      </c>
      <c r="D26" s="121"/>
      <c r="E26" s="20"/>
      <c r="F26" s="185"/>
      <c r="G26" s="128"/>
      <c r="H26" s="93"/>
      <c r="I26" s="832"/>
      <c r="J26" s="128"/>
      <c r="K26" s="92"/>
      <c r="L26" s="92"/>
      <c r="M26" s="92"/>
      <c r="N26" s="92"/>
      <c r="O26" s="92"/>
      <c r="P26" s="92"/>
      <c r="Q26" s="92"/>
      <c r="R26" s="92"/>
      <c r="S26" s="92"/>
      <c r="T26" s="92"/>
      <c r="U26" s="92"/>
      <c r="V26" s="92"/>
      <c r="W26" s="92"/>
      <c r="X26" s="92"/>
      <c r="Y26" s="92"/>
      <c r="Z26" s="93"/>
      <c r="AA26" s="84"/>
      <c r="AB26" s="82">
        <f t="shared" si="0"/>
        <v>0</v>
      </c>
      <c r="AC26" s="23">
        <f t="shared" si="3"/>
        <v>0</v>
      </c>
      <c r="AD26" s="23">
        <f t="shared" si="4"/>
        <v>0</v>
      </c>
    </row>
    <row r="27" spans="2:30" x14ac:dyDescent="0.25">
      <c r="B27" s="80">
        <f t="shared" si="1"/>
        <v>18</v>
      </c>
      <c r="C27" s="75">
        <f t="shared" si="2"/>
        <v>2042</v>
      </c>
      <c r="D27" s="121"/>
      <c r="E27" s="20"/>
      <c r="F27" s="185"/>
      <c r="G27" s="128"/>
      <c r="H27" s="93"/>
      <c r="I27" s="832"/>
      <c r="J27" s="128"/>
      <c r="K27" s="92"/>
      <c r="L27" s="92"/>
      <c r="M27" s="92"/>
      <c r="N27" s="92"/>
      <c r="O27" s="92"/>
      <c r="P27" s="92"/>
      <c r="Q27" s="92"/>
      <c r="R27" s="92"/>
      <c r="S27" s="92"/>
      <c r="T27" s="92"/>
      <c r="U27" s="92"/>
      <c r="V27" s="92"/>
      <c r="W27" s="92"/>
      <c r="X27" s="92"/>
      <c r="Y27" s="92"/>
      <c r="Z27" s="93"/>
      <c r="AA27" s="84"/>
      <c r="AB27" s="82">
        <f t="shared" si="0"/>
        <v>0</v>
      </c>
      <c r="AC27" s="23">
        <f t="shared" si="3"/>
        <v>0</v>
      </c>
      <c r="AD27" s="23">
        <f t="shared" si="4"/>
        <v>0</v>
      </c>
    </row>
    <row r="28" spans="2:30" x14ac:dyDescent="0.25">
      <c r="B28" s="80">
        <f t="shared" si="1"/>
        <v>19</v>
      </c>
      <c r="C28" s="75">
        <f t="shared" si="2"/>
        <v>2043</v>
      </c>
      <c r="D28" s="121"/>
      <c r="E28" s="20"/>
      <c r="F28" s="185"/>
      <c r="G28" s="128"/>
      <c r="H28" s="93"/>
      <c r="I28" s="832"/>
      <c r="J28" s="128"/>
      <c r="K28" s="92"/>
      <c r="L28" s="92"/>
      <c r="M28" s="92"/>
      <c r="N28" s="92"/>
      <c r="O28" s="92"/>
      <c r="P28" s="92"/>
      <c r="Q28" s="92"/>
      <c r="R28" s="92"/>
      <c r="S28" s="92"/>
      <c r="T28" s="92"/>
      <c r="U28" s="92"/>
      <c r="V28" s="92"/>
      <c r="W28" s="92"/>
      <c r="X28" s="92"/>
      <c r="Y28" s="92"/>
      <c r="Z28" s="93"/>
      <c r="AA28" s="84"/>
      <c r="AB28" s="82">
        <f t="shared" si="0"/>
        <v>0</v>
      </c>
      <c r="AC28" s="23">
        <f t="shared" si="3"/>
        <v>0</v>
      </c>
      <c r="AD28" s="23">
        <f t="shared" si="4"/>
        <v>0</v>
      </c>
    </row>
    <row r="29" spans="2:30" x14ac:dyDescent="0.25">
      <c r="B29" s="80">
        <f t="shared" si="1"/>
        <v>20</v>
      </c>
      <c r="C29" s="75">
        <f t="shared" si="2"/>
        <v>2044</v>
      </c>
      <c r="D29" s="121"/>
      <c r="E29" s="20"/>
      <c r="F29" s="185"/>
      <c r="G29" s="128"/>
      <c r="H29" s="93"/>
      <c r="I29" s="832"/>
      <c r="J29" s="128"/>
      <c r="K29" s="92"/>
      <c r="L29" s="92">
        <f>L9</f>
        <v>4034711.4970308319</v>
      </c>
      <c r="M29" s="92"/>
      <c r="N29" s="92">
        <f>N9</f>
        <v>20825.287439510266</v>
      </c>
      <c r="O29" s="92">
        <f>O9</f>
        <v>24554.562342672874</v>
      </c>
      <c r="P29" s="92">
        <f>P9</f>
        <v>98041.529120413557</v>
      </c>
      <c r="Q29" s="92"/>
      <c r="R29" s="92">
        <f>R9</f>
        <v>105076.90557066782</v>
      </c>
      <c r="S29" s="92">
        <f>S9</f>
        <v>160337.80545487814</v>
      </c>
      <c r="T29" s="92">
        <f>T9</f>
        <v>218798.77473601332</v>
      </c>
      <c r="U29" s="92"/>
      <c r="V29" s="92"/>
      <c r="W29" s="92"/>
      <c r="X29" s="92"/>
      <c r="Y29" s="92">
        <f>Y9</f>
        <v>249939.74856877487</v>
      </c>
      <c r="Z29" s="93">
        <f>Z9</f>
        <v>160337.80545487814</v>
      </c>
      <c r="AA29" s="84"/>
      <c r="AB29" s="82">
        <f t="shared" si="0"/>
        <v>5072623.9157186411</v>
      </c>
      <c r="AC29" s="23">
        <f t="shared" si="3"/>
        <v>1000050.6592553582</v>
      </c>
      <c r="AD29" s="23">
        <f t="shared" si="4"/>
        <v>2495394.8359046238</v>
      </c>
    </row>
    <row r="30" spans="2:30" x14ac:dyDescent="0.25">
      <c r="B30" s="80">
        <f t="shared" si="1"/>
        <v>21</v>
      </c>
      <c r="C30" s="75">
        <f t="shared" si="2"/>
        <v>2045</v>
      </c>
      <c r="D30" s="121"/>
      <c r="E30" s="20"/>
      <c r="F30" s="185"/>
      <c r="G30" s="128"/>
      <c r="H30" s="93"/>
      <c r="I30" s="832"/>
      <c r="J30" s="128"/>
      <c r="K30" s="92"/>
      <c r="L30" s="92"/>
      <c r="M30" s="92"/>
      <c r="N30" s="92"/>
      <c r="O30" s="92"/>
      <c r="P30" s="92"/>
      <c r="Q30" s="92"/>
      <c r="R30" s="92"/>
      <c r="S30" s="92"/>
      <c r="T30" s="92"/>
      <c r="U30" s="92"/>
      <c r="V30" s="92"/>
      <c r="W30" s="92"/>
      <c r="X30" s="92"/>
      <c r="Y30" s="92"/>
      <c r="Z30" s="93"/>
      <c r="AA30" s="84"/>
      <c r="AB30" s="82">
        <f t="shared" si="0"/>
        <v>0</v>
      </c>
      <c r="AC30" s="23">
        <f t="shared" si="3"/>
        <v>0</v>
      </c>
      <c r="AD30" s="23">
        <f t="shared" si="4"/>
        <v>0</v>
      </c>
    </row>
    <row r="31" spans="2:30" x14ac:dyDescent="0.25">
      <c r="B31" s="80">
        <f t="shared" si="1"/>
        <v>22</v>
      </c>
      <c r="C31" s="75">
        <f t="shared" si="2"/>
        <v>2046</v>
      </c>
      <c r="D31" s="121"/>
      <c r="E31" s="20"/>
      <c r="F31" s="185"/>
      <c r="G31" s="128"/>
      <c r="H31" s="93"/>
      <c r="I31" s="832"/>
      <c r="J31" s="128"/>
      <c r="K31" s="92"/>
      <c r="L31" s="92"/>
      <c r="M31" s="92"/>
      <c r="N31" s="92"/>
      <c r="O31" s="92"/>
      <c r="P31" s="92"/>
      <c r="Q31" s="92"/>
      <c r="R31" s="92"/>
      <c r="S31" s="92"/>
      <c r="T31" s="92"/>
      <c r="U31" s="92"/>
      <c r="V31" s="92"/>
      <c r="W31" s="92"/>
      <c r="X31" s="92"/>
      <c r="Y31" s="92"/>
      <c r="Z31" s="93"/>
      <c r="AA31" s="84"/>
      <c r="AB31" s="82">
        <f t="shared" si="0"/>
        <v>0</v>
      </c>
      <c r="AC31" s="23">
        <f t="shared" si="3"/>
        <v>0</v>
      </c>
      <c r="AD31" s="23">
        <f t="shared" si="4"/>
        <v>0</v>
      </c>
    </row>
    <row r="32" spans="2:30" x14ac:dyDescent="0.25">
      <c r="B32" s="80">
        <f t="shared" si="1"/>
        <v>23</v>
      </c>
      <c r="C32" s="75">
        <f t="shared" si="2"/>
        <v>2047</v>
      </c>
      <c r="D32" s="121"/>
      <c r="E32" s="20"/>
      <c r="F32" s="185"/>
      <c r="G32" s="128"/>
      <c r="H32" s="93"/>
      <c r="I32" s="832"/>
      <c r="J32" s="128"/>
      <c r="K32" s="92"/>
      <c r="L32" s="92"/>
      <c r="M32" s="92"/>
      <c r="N32" s="92"/>
      <c r="O32" s="92"/>
      <c r="P32" s="92"/>
      <c r="Q32" s="92"/>
      <c r="R32" s="92"/>
      <c r="S32" s="92"/>
      <c r="T32" s="92"/>
      <c r="U32" s="92"/>
      <c r="V32" s="92"/>
      <c r="W32" s="92"/>
      <c r="X32" s="92"/>
      <c r="Y32" s="92"/>
      <c r="Z32" s="93"/>
      <c r="AA32" s="84"/>
      <c r="AB32" s="82">
        <f t="shared" si="0"/>
        <v>0</v>
      </c>
      <c r="AC32" s="23">
        <f t="shared" si="3"/>
        <v>0</v>
      </c>
      <c r="AD32" s="23">
        <f t="shared" si="4"/>
        <v>0</v>
      </c>
    </row>
    <row r="33" spans="2:30" x14ac:dyDescent="0.25">
      <c r="B33" s="80">
        <f t="shared" si="1"/>
        <v>24</v>
      </c>
      <c r="C33" s="75">
        <f t="shared" si="2"/>
        <v>2048</v>
      </c>
      <c r="D33" s="121"/>
      <c r="E33" s="20"/>
      <c r="F33" s="185"/>
      <c r="G33" s="128"/>
      <c r="H33" s="93"/>
      <c r="I33" s="832"/>
      <c r="J33" s="128"/>
      <c r="K33" s="92"/>
      <c r="L33" s="92"/>
      <c r="M33" s="92"/>
      <c r="N33" s="92"/>
      <c r="O33" s="92"/>
      <c r="P33" s="92"/>
      <c r="Q33" s="92"/>
      <c r="R33" s="92"/>
      <c r="S33" s="92"/>
      <c r="T33" s="92"/>
      <c r="U33" s="92"/>
      <c r="V33" s="92"/>
      <c r="W33" s="92"/>
      <c r="X33" s="92"/>
      <c r="Y33" s="92"/>
      <c r="Z33" s="93"/>
      <c r="AA33" s="84"/>
      <c r="AB33" s="82">
        <f t="shared" si="0"/>
        <v>0</v>
      </c>
      <c r="AC33" s="23">
        <f t="shared" si="3"/>
        <v>0</v>
      </c>
      <c r="AD33" s="23">
        <f t="shared" si="4"/>
        <v>0</v>
      </c>
    </row>
    <row r="34" spans="2:30" x14ac:dyDescent="0.25">
      <c r="B34" s="80">
        <f t="shared" si="1"/>
        <v>25</v>
      </c>
      <c r="C34" s="75">
        <f t="shared" si="2"/>
        <v>2049</v>
      </c>
      <c r="D34" s="121"/>
      <c r="E34" s="20"/>
      <c r="F34" s="185"/>
      <c r="G34" s="128"/>
      <c r="H34" s="93"/>
      <c r="I34" s="832"/>
      <c r="J34" s="128"/>
      <c r="K34" s="92"/>
      <c r="L34" s="92"/>
      <c r="M34" s="92"/>
      <c r="N34" s="92">
        <f>N9</f>
        <v>20825.287439510266</v>
      </c>
      <c r="O34" s="92"/>
      <c r="P34" s="92"/>
      <c r="Q34" s="92"/>
      <c r="R34" s="92"/>
      <c r="S34" s="92"/>
      <c r="T34" s="92"/>
      <c r="U34" s="92"/>
      <c r="V34" s="92"/>
      <c r="W34" s="92"/>
      <c r="X34" s="92"/>
      <c r="Y34" s="92"/>
      <c r="Z34" s="93"/>
      <c r="AA34" s="84"/>
      <c r="AB34" s="82">
        <f t="shared" si="0"/>
        <v>20825.287439510266</v>
      </c>
      <c r="AC34" s="23">
        <f t="shared" si="3"/>
        <v>2927.2610330832435</v>
      </c>
      <c r="AD34" s="23">
        <f t="shared" si="4"/>
        <v>8837.1349688368882</v>
      </c>
    </row>
    <row r="35" spans="2:30" x14ac:dyDescent="0.25">
      <c r="B35" s="80">
        <f t="shared" si="1"/>
        <v>26</v>
      </c>
      <c r="C35" s="75">
        <f t="shared" si="2"/>
        <v>2050</v>
      </c>
      <c r="D35" s="121"/>
      <c r="E35" s="20"/>
      <c r="F35" s="185"/>
      <c r="G35" s="128"/>
      <c r="H35" s="93"/>
      <c r="I35" s="832"/>
      <c r="J35" s="128"/>
      <c r="K35" s="92"/>
      <c r="L35" s="92"/>
      <c r="M35" s="92"/>
      <c r="N35" s="92"/>
      <c r="O35" s="92"/>
      <c r="P35" s="92"/>
      <c r="Q35" s="92"/>
      <c r="R35" s="92"/>
      <c r="S35" s="92"/>
      <c r="T35" s="92"/>
      <c r="U35" s="92"/>
      <c r="V35" s="92"/>
      <c r="W35" s="92"/>
      <c r="X35" s="92"/>
      <c r="Y35" s="92"/>
      <c r="Z35" s="93"/>
      <c r="AA35" s="84"/>
      <c r="AB35" s="82">
        <f t="shared" si="0"/>
        <v>0</v>
      </c>
      <c r="AC35" s="23">
        <f t="shared" si="3"/>
        <v>0</v>
      </c>
      <c r="AD35" s="23">
        <f t="shared" si="4"/>
        <v>0</v>
      </c>
    </row>
    <row r="36" spans="2:30" x14ac:dyDescent="0.25">
      <c r="B36" s="80">
        <f t="shared" si="1"/>
        <v>27</v>
      </c>
      <c r="C36" s="75">
        <f t="shared" si="2"/>
        <v>2051</v>
      </c>
      <c r="D36" s="121"/>
      <c r="E36" s="20"/>
      <c r="F36" s="185"/>
      <c r="G36" s="128"/>
      <c r="H36" s="93"/>
      <c r="I36" s="832"/>
      <c r="J36" s="128"/>
      <c r="K36" s="92"/>
      <c r="L36" s="92"/>
      <c r="M36" s="92"/>
      <c r="N36" s="92"/>
      <c r="O36" s="92"/>
      <c r="P36" s="92"/>
      <c r="Q36" s="92"/>
      <c r="R36" s="92"/>
      <c r="S36" s="92"/>
      <c r="T36" s="92"/>
      <c r="U36" s="92"/>
      <c r="V36" s="92"/>
      <c r="W36" s="92"/>
      <c r="X36" s="92"/>
      <c r="Y36" s="92"/>
      <c r="Z36" s="93"/>
      <c r="AA36" s="84"/>
      <c r="AB36" s="82">
        <f t="shared" si="0"/>
        <v>0</v>
      </c>
      <c r="AC36" s="23">
        <f t="shared" si="3"/>
        <v>0</v>
      </c>
      <c r="AD36" s="23">
        <f t="shared" si="4"/>
        <v>0</v>
      </c>
    </row>
    <row r="37" spans="2:30" x14ac:dyDescent="0.25">
      <c r="B37" s="80">
        <f t="shared" si="1"/>
        <v>28</v>
      </c>
      <c r="C37" s="75">
        <f t="shared" si="2"/>
        <v>2052</v>
      </c>
      <c r="D37" s="121"/>
      <c r="E37" s="20"/>
      <c r="F37" s="185"/>
      <c r="G37" s="128"/>
      <c r="H37" s="93"/>
      <c r="I37" s="832"/>
      <c r="J37" s="128"/>
      <c r="K37" s="92"/>
      <c r="L37" s="92"/>
      <c r="M37" s="92"/>
      <c r="N37" s="92"/>
      <c r="O37" s="92"/>
      <c r="P37" s="92"/>
      <c r="Q37" s="92"/>
      <c r="R37" s="92"/>
      <c r="S37" s="92"/>
      <c r="T37" s="92"/>
      <c r="U37" s="92"/>
      <c r="V37" s="92"/>
      <c r="W37" s="92"/>
      <c r="X37" s="92"/>
      <c r="Y37" s="92"/>
      <c r="Z37" s="93"/>
      <c r="AA37" s="84"/>
      <c r="AB37" s="82">
        <f t="shared" si="0"/>
        <v>0</v>
      </c>
      <c r="AC37" s="23">
        <f t="shared" si="3"/>
        <v>0</v>
      </c>
      <c r="AD37" s="23">
        <f t="shared" si="4"/>
        <v>0</v>
      </c>
    </row>
    <row r="38" spans="2:30" x14ac:dyDescent="0.25">
      <c r="B38" s="80">
        <f t="shared" si="1"/>
        <v>29</v>
      </c>
      <c r="C38" s="75">
        <f t="shared" si="2"/>
        <v>2053</v>
      </c>
      <c r="D38" s="125"/>
      <c r="E38" s="88"/>
      <c r="F38" s="189"/>
      <c r="G38" s="128"/>
      <c r="H38" s="93"/>
      <c r="I38" s="832"/>
      <c r="J38" s="130"/>
      <c r="K38" s="97"/>
      <c r="L38" s="97"/>
      <c r="M38" s="97"/>
      <c r="N38" s="97"/>
      <c r="O38" s="97"/>
      <c r="P38" s="97"/>
      <c r="Q38" s="97"/>
      <c r="R38" s="97"/>
      <c r="S38" s="97"/>
      <c r="T38" s="97"/>
      <c r="U38" s="97"/>
      <c r="V38" s="97"/>
      <c r="W38" s="97"/>
      <c r="X38" s="97"/>
      <c r="Y38" s="97"/>
      <c r="Z38" s="126"/>
      <c r="AA38" s="231"/>
      <c r="AB38" s="82">
        <f t="shared" si="0"/>
        <v>0</v>
      </c>
      <c r="AC38" s="23">
        <f t="shared" si="3"/>
        <v>0</v>
      </c>
      <c r="AD38" s="23">
        <f t="shared" si="4"/>
        <v>0</v>
      </c>
    </row>
    <row r="39" spans="2:30" ht="16.5" thickBot="1" x14ac:dyDescent="0.3">
      <c r="B39" s="80">
        <f t="shared" si="1"/>
        <v>30</v>
      </c>
      <c r="C39" s="75">
        <f t="shared" si="2"/>
        <v>2054</v>
      </c>
      <c r="D39" s="125"/>
      <c r="E39" s="88"/>
      <c r="F39" s="189"/>
      <c r="G39" s="111"/>
      <c r="H39" s="95"/>
      <c r="I39" s="832"/>
      <c r="J39" s="130"/>
      <c r="K39" s="97"/>
      <c r="L39" s="97"/>
      <c r="M39" s="97"/>
      <c r="N39" s="97"/>
      <c r="O39" s="97"/>
      <c r="P39" s="97"/>
      <c r="Q39" s="97"/>
      <c r="R39" s="97"/>
      <c r="S39" s="97"/>
      <c r="T39" s="97"/>
      <c r="U39" s="97"/>
      <c r="V39" s="97"/>
      <c r="W39" s="97"/>
      <c r="X39" s="97"/>
      <c r="Y39" s="97"/>
      <c r="Z39" s="126"/>
      <c r="AA39" s="231"/>
      <c r="AB39" s="82">
        <f t="shared" si="0"/>
        <v>0</v>
      </c>
      <c r="AC39" s="23">
        <f t="shared" si="3"/>
        <v>0</v>
      </c>
      <c r="AD39" s="23">
        <f t="shared" si="4"/>
        <v>0</v>
      </c>
    </row>
    <row r="40" spans="2:30" ht="18" customHeight="1" x14ac:dyDescent="0.25">
      <c r="B40" s="813" t="s">
        <v>46</v>
      </c>
      <c r="C40" s="113">
        <v>7.0000000000000007E-2</v>
      </c>
      <c r="D40" s="123">
        <f>D53*D8</f>
        <v>0</v>
      </c>
      <c r="E40" s="18"/>
      <c r="F40" s="132"/>
      <c r="G40" s="123">
        <f t="shared" ref="G40:H40" si="5">G53*G9</f>
        <v>0</v>
      </c>
      <c r="H40" s="174">
        <f t="shared" si="5"/>
        <v>0</v>
      </c>
      <c r="I40" s="204"/>
      <c r="J40" s="123">
        <f>J53*J9</f>
        <v>0</v>
      </c>
      <c r="K40" s="123">
        <f t="shared" ref="K40:V40" si="6">K53*K9</f>
        <v>1415606.8660380763</v>
      </c>
      <c r="L40" s="123">
        <f>L53*L29</f>
        <v>3444568.3952526217</v>
      </c>
      <c r="M40" s="123">
        <f t="shared" si="6"/>
        <v>2252101.2360975822</v>
      </c>
      <c r="N40" s="123">
        <f>N53*N34</f>
        <v>0</v>
      </c>
      <c r="O40" s="123">
        <f>O53*O29</f>
        <v>16279.095611813886</v>
      </c>
      <c r="P40" s="123">
        <f>P53*P29</f>
        <v>64999.221090002655</v>
      </c>
      <c r="Q40" s="123">
        <f t="shared" si="6"/>
        <v>0</v>
      </c>
      <c r="R40" s="123">
        <f t="shared" ref="R40:T40" si="7">R53*R29</f>
        <v>0</v>
      </c>
      <c r="S40" s="123">
        <f t="shared" si="7"/>
        <v>0</v>
      </c>
      <c r="T40" s="123">
        <f t="shared" si="7"/>
        <v>145058.42637175534</v>
      </c>
      <c r="U40" s="123">
        <f t="shared" si="6"/>
        <v>1116612.7120499238</v>
      </c>
      <c r="V40" s="123">
        <f t="shared" si="6"/>
        <v>1864370.6346437449</v>
      </c>
      <c r="W40" s="19">
        <f t="shared" ref="W40:Z40" si="8">W53*W8</f>
        <v>0</v>
      </c>
      <c r="X40" s="19">
        <f t="shared" si="8"/>
        <v>0</v>
      </c>
      <c r="Y40" s="19">
        <f>Y53*Y29</f>
        <v>165704.15743361617</v>
      </c>
      <c r="Z40" s="174">
        <f t="shared" si="8"/>
        <v>0</v>
      </c>
      <c r="AA40" s="123"/>
      <c r="AB40" s="132"/>
      <c r="AC40" s="33">
        <f>SUM(D40:AA40)</f>
        <v>10485300.744589137</v>
      </c>
      <c r="AD40" s="31"/>
    </row>
    <row r="41" spans="2:30" ht="18" customHeight="1" thickBot="1" x14ac:dyDescent="0.3">
      <c r="B41" s="814"/>
      <c r="C41" s="114">
        <v>0.03</v>
      </c>
      <c r="D41" s="127">
        <f>D59*D8</f>
        <v>0</v>
      </c>
      <c r="E41" s="30"/>
      <c r="F41" s="133"/>
      <c r="G41" s="127">
        <f t="shared" ref="G41:H41" si="9">G59*G9</f>
        <v>0</v>
      </c>
      <c r="H41" s="176">
        <f t="shared" si="9"/>
        <v>0</v>
      </c>
      <c r="I41" s="205"/>
      <c r="J41" s="127">
        <f>J59*J9</f>
        <v>0</v>
      </c>
      <c r="K41" s="127">
        <f t="shared" ref="K41:V41" si="10">K59*K9</f>
        <v>1314737.3175051163</v>
      </c>
      <c r="L41" s="127">
        <f>L59*L29</f>
        <v>3062498.3282782454</v>
      </c>
      <c r="M41" s="127">
        <f t="shared" si="10"/>
        <v>1939832.3827716159</v>
      </c>
      <c r="N41" s="127">
        <f>N59*N34</f>
        <v>0</v>
      </c>
      <c r="O41" s="127">
        <f>O59*O29</f>
        <v>14078.692742946036</v>
      </c>
      <c r="P41" s="127">
        <f>P59*P29</f>
        <v>56213.446009424879</v>
      </c>
      <c r="Q41" s="127">
        <f t="shared" si="10"/>
        <v>0</v>
      </c>
      <c r="R41" s="127">
        <f t="shared" ref="R41:T41" si="11">R59*R29</f>
        <v>0</v>
      </c>
      <c r="S41" s="127">
        <f t="shared" si="11"/>
        <v>0</v>
      </c>
      <c r="T41" s="127">
        <f t="shared" si="11"/>
        <v>125451.25745076015</v>
      </c>
      <c r="U41" s="127">
        <f t="shared" si="10"/>
        <v>1037048.0936146737</v>
      </c>
      <c r="V41" s="127">
        <f t="shared" si="10"/>
        <v>1731524.2712032017</v>
      </c>
      <c r="W41" s="175">
        <f t="shared" ref="W41:Z41" si="12">W59*W8</f>
        <v>0</v>
      </c>
      <c r="X41" s="175">
        <f t="shared" si="12"/>
        <v>0</v>
      </c>
      <c r="Y41" s="175">
        <f>Y59*Y29</f>
        <v>143306.35892596113</v>
      </c>
      <c r="Z41" s="176">
        <f t="shared" si="12"/>
        <v>0</v>
      </c>
      <c r="AA41" s="127"/>
      <c r="AB41" s="133"/>
      <c r="AC41" s="24"/>
      <c r="AD41" s="32">
        <f>SUM(D41:AA41)</f>
        <v>9424690.1485019438</v>
      </c>
    </row>
    <row r="42" spans="2:30" x14ac:dyDescent="0.25">
      <c r="AA42" t="s">
        <v>111</v>
      </c>
      <c r="AB42" s="29">
        <f>SUM(AB6:AB39)</f>
        <v>24774291.525645487</v>
      </c>
      <c r="AC42" s="29">
        <f>SUM(AC7:AC39)-AC40</f>
        <v>5510141.3768568449</v>
      </c>
      <c r="AD42" s="29">
        <f>SUM(AD7:AD39)-AD41</f>
        <v>10312906.40115957</v>
      </c>
    </row>
    <row r="43" spans="2:30" x14ac:dyDescent="0.25">
      <c r="AA43" t="s">
        <v>112</v>
      </c>
      <c r="AB43" s="29"/>
      <c r="AC43" s="29">
        <f>SUM(AC6:AC39)</f>
        <v>15995442.121445982</v>
      </c>
      <c r="AD43" s="29">
        <f>SUM(AD6:AD39)</f>
        <v>19737596.549661513</v>
      </c>
    </row>
    <row r="44" spans="2:30" x14ac:dyDescent="0.25">
      <c r="AB44" s="29"/>
      <c r="AC44" s="29"/>
      <c r="AD44" s="29"/>
    </row>
    <row r="45" spans="2:30" x14ac:dyDescent="0.25">
      <c r="B45" t="s">
        <v>47</v>
      </c>
      <c r="D45" s="12">
        <f>D5-D46</f>
        <v>95</v>
      </c>
      <c r="E45" s="12"/>
      <c r="F45" s="12"/>
      <c r="G45" s="151"/>
      <c r="H45" s="151"/>
      <c r="I45" s="151"/>
      <c r="J45" s="151"/>
      <c r="K45" s="151">
        <f t="shared" ref="K45:Y45" si="13">K5-K46</f>
        <v>70</v>
      </c>
      <c r="L45" s="151">
        <f t="shared" si="13"/>
        <v>20</v>
      </c>
      <c r="M45" s="151">
        <f t="shared" si="13"/>
        <v>45</v>
      </c>
      <c r="N45" s="151">
        <f t="shared" si="13"/>
        <v>0</v>
      </c>
      <c r="O45" s="151">
        <f t="shared" si="13"/>
        <v>10</v>
      </c>
      <c r="P45" s="151">
        <f t="shared" si="13"/>
        <v>10</v>
      </c>
      <c r="Q45" s="151">
        <f t="shared" si="13"/>
        <v>0</v>
      </c>
      <c r="R45" s="151">
        <f t="shared" si="13"/>
        <v>0</v>
      </c>
      <c r="S45" s="151">
        <f t="shared" si="13"/>
        <v>0</v>
      </c>
      <c r="T45" s="151">
        <f t="shared" si="13"/>
        <v>10</v>
      </c>
      <c r="U45" s="151">
        <f t="shared" si="13"/>
        <v>70</v>
      </c>
      <c r="V45" s="151">
        <f t="shared" si="13"/>
        <v>70</v>
      </c>
      <c r="W45" s="151">
        <f t="shared" si="13"/>
        <v>70</v>
      </c>
      <c r="X45" s="151">
        <f t="shared" si="13"/>
        <v>20</v>
      </c>
      <c r="Y45" s="151">
        <f t="shared" si="13"/>
        <v>10</v>
      </c>
      <c r="Z45" s="151"/>
      <c r="AA45" s="194">
        <f t="shared" ref="AA45" si="14">AA5-AA46</f>
        <v>-30</v>
      </c>
    </row>
    <row r="46" spans="2:30" x14ac:dyDescent="0.25">
      <c r="B46" t="s">
        <v>48</v>
      </c>
      <c r="D46" s="12">
        <f>30</f>
        <v>30</v>
      </c>
      <c r="E46" s="12"/>
      <c r="F46" s="12"/>
      <c r="G46" s="151"/>
      <c r="H46" s="151"/>
      <c r="I46" s="151"/>
      <c r="J46" s="151"/>
      <c r="K46" s="151">
        <v>30</v>
      </c>
      <c r="L46" s="151">
        <v>10</v>
      </c>
      <c r="M46" s="151">
        <v>30</v>
      </c>
      <c r="N46" s="151">
        <v>5</v>
      </c>
      <c r="O46" s="151">
        <v>10</v>
      </c>
      <c r="P46" s="151">
        <v>10</v>
      </c>
      <c r="Q46" s="151">
        <v>30</v>
      </c>
      <c r="R46" s="151">
        <v>10</v>
      </c>
      <c r="S46" s="151">
        <v>10</v>
      </c>
      <c r="T46" s="151">
        <v>10</v>
      </c>
      <c r="U46" s="151">
        <v>30</v>
      </c>
      <c r="V46" s="151">
        <v>30</v>
      </c>
      <c r="W46" s="151">
        <v>30</v>
      </c>
      <c r="X46" s="151">
        <v>30</v>
      </c>
      <c r="Y46" s="151">
        <v>10</v>
      </c>
      <c r="Z46" s="151"/>
      <c r="AA46" s="194">
        <v>30</v>
      </c>
    </row>
    <row r="47" spans="2:30" x14ac:dyDescent="0.25">
      <c r="B47" t="s">
        <v>49</v>
      </c>
      <c r="D47" s="12" t="s">
        <v>50</v>
      </c>
      <c r="F47" s="12"/>
      <c r="G47" s="151"/>
      <c r="H47" s="151"/>
      <c r="I47" s="151"/>
      <c r="J47" s="151"/>
      <c r="K47" s="151" t="s">
        <v>50</v>
      </c>
      <c r="L47" s="151" t="s">
        <v>50</v>
      </c>
      <c r="M47" s="151" t="s">
        <v>50</v>
      </c>
      <c r="N47" s="151" t="s">
        <v>50</v>
      </c>
      <c r="O47" s="151" t="s">
        <v>50</v>
      </c>
      <c r="P47" s="151" t="s">
        <v>50</v>
      </c>
      <c r="Q47" s="151" t="s">
        <v>50</v>
      </c>
      <c r="R47" s="151" t="s">
        <v>50</v>
      </c>
      <c r="S47" s="151" t="s">
        <v>50</v>
      </c>
      <c r="T47" s="151" t="s">
        <v>50</v>
      </c>
      <c r="U47" s="151" t="s">
        <v>50</v>
      </c>
      <c r="V47" s="151" t="s">
        <v>50</v>
      </c>
      <c r="W47" s="151" t="s">
        <v>50</v>
      </c>
      <c r="X47" s="151" t="s">
        <v>50</v>
      </c>
      <c r="Y47" s="151" t="s">
        <v>50</v>
      </c>
      <c r="Z47" s="151"/>
      <c r="AA47" s="194" t="s">
        <v>50</v>
      </c>
    </row>
    <row r="48" spans="2:30" x14ac:dyDescent="0.25">
      <c r="B48" s="812" t="s">
        <v>51</v>
      </c>
      <c r="C48" s="812"/>
    </row>
    <row r="49" spans="2:27" x14ac:dyDescent="0.25">
      <c r="B49" t="s">
        <v>52</v>
      </c>
      <c r="D49">
        <v>7.0000000000000007E-2</v>
      </c>
      <c r="K49">
        <v>7.0000000000000007E-2</v>
      </c>
      <c r="L49">
        <v>7.0000000000000007E-2</v>
      </c>
      <c r="M49">
        <v>7.0000000000000007E-2</v>
      </c>
      <c r="N49">
        <v>7.0000000000000007E-2</v>
      </c>
      <c r="O49">
        <v>7.0000000000000007E-2</v>
      </c>
      <c r="P49">
        <v>7.0000000000000007E-2</v>
      </c>
      <c r="Q49">
        <v>7.0000000000000007E-2</v>
      </c>
      <c r="R49">
        <v>7.0000000000000007E-2</v>
      </c>
      <c r="S49">
        <v>7.0000000000000007E-2</v>
      </c>
      <c r="T49">
        <v>7.0000000000000007E-2</v>
      </c>
      <c r="U49">
        <v>7.0000000000000007E-2</v>
      </c>
      <c r="V49">
        <v>7.0000000000000007E-2</v>
      </c>
      <c r="W49">
        <v>7.0000000000000007E-2</v>
      </c>
      <c r="X49">
        <v>7.0000000000000007E-2</v>
      </c>
      <c r="Y49">
        <v>7.0000000000000007E-2</v>
      </c>
      <c r="AA49">
        <v>7.0000000000000007E-2</v>
      </c>
    </row>
    <row r="50" spans="2:27" x14ac:dyDescent="0.25">
      <c r="B50" s="811" t="s">
        <v>53</v>
      </c>
      <c r="C50" s="811"/>
      <c r="D50" s="34">
        <f t="shared" ref="D50" si="15">(1+D49)^D$46</f>
        <v>7.6122550426620306</v>
      </c>
      <c r="E50" s="34"/>
      <c r="F50" s="34"/>
      <c r="G50" s="34"/>
      <c r="H50" s="34"/>
      <c r="I50" s="34"/>
      <c r="J50" s="34"/>
      <c r="K50" s="34">
        <f t="shared" ref="K50:Y50" si="16">(1+K49)^K$46</f>
        <v>7.6122550426620306</v>
      </c>
      <c r="L50" s="34">
        <f t="shared" si="16"/>
        <v>1.9671513572895656</v>
      </c>
      <c r="M50" s="34">
        <f t="shared" si="16"/>
        <v>7.6122550426620306</v>
      </c>
      <c r="N50" s="34">
        <f t="shared" si="16"/>
        <v>1.4025517307000002</v>
      </c>
      <c r="O50" s="34">
        <f t="shared" si="16"/>
        <v>1.9671513572895656</v>
      </c>
      <c r="P50" s="34">
        <f t="shared" si="16"/>
        <v>1.9671513572895656</v>
      </c>
      <c r="Q50" s="34">
        <f t="shared" si="16"/>
        <v>7.6122550426620306</v>
      </c>
      <c r="R50" s="34">
        <f t="shared" si="16"/>
        <v>1.9671513572895656</v>
      </c>
      <c r="S50" s="34">
        <f t="shared" si="16"/>
        <v>1.9671513572895656</v>
      </c>
      <c r="T50" s="34">
        <f t="shared" si="16"/>
        <v>1.9671513572895656</v>
      </c>
      <c r="U50" s="34">
        <f t="shared" si="16"/>
        <v>7.6122550426620306</v>
      </c>
      <c r="V50" s="34">
        <f t="shared" si="16"/>
        <v>7.6122550426620306</v>
      </c>
      <c r="W50" s="34">
        <f t="shared" si="16"/>
        <v>7.6122550426620306</v>
      </c>
      <c r="X50" s="34">
        <f t="shared" si="16"/>
        <v>7.6122550426620306</v>
      </c>
      <c r="Y50" s="34">
        <f t="shared" si="16"/>
        <v>1.9671513572895656</v>
      </c>
      <c r="Z50" s="34"/>
      <c r="AA50" s="34">
        <f t="shared" ref="AA50" si="17">(1+AA49)^AA$46</f>
        <v>7.6122550426620306</v>
      </c>
    </row>
    <row r="51" spans="2:27" x14ac:dyDescent="0.25">
      <c r="B51" s="811" t="s">
        <v>54</v>
      </c>
      <c r="C51" s="811"/>
      <c r="D51" s="34">
        <f t="shared" ref="D51" si="18">((1+D49)^D$5-1)/(D49*(1+D49)^D$5)</f>
        <v>14.282680885246981</v>
      </c>
      <c r="E51" s="34"/>
      <c r="F51" s="34"/>
      <c r="G51" s="34"/>
      <c r="H51" s="34"/>
      <c r="I51" s="34"/>
      <c r="J51" s="34"/>
      <c r="K51" s="34">
        <f t="shared" ref="K51:Y51" si="19">((1+K49)^K$5-1)/(K49*(1+K49)^K$5)</f>
        <v>14.269250709007474</v>
      </c>
      <c r="L51" s="34">
        <f t="shared" si="19"/>
        <v>12.40904118350586</v>
      </c>
      <c r="M51" s="34">
        <f t="shared" si="19"/>
        <v>14.196359332122576</v>
      </c>
      <c r="N51" s="34">
        <f t="shared" si="19"/>
        <v>4.100197435947595</v>
      </c>
      <c r="O51" s="34">
        <f t="shared" si="19"/>
        <v>10.59401424551616</v>
      </c>
      <c r="P51" s="34">
        <f t="shared" si="19"/>
        <v>10.59401424551616</v>
      </c>
      <c r="Q51" s="34">
        <f t="shared" si="19"/>
        <v>12.40904118350586</v>
      </c>
      <c r="R51" s="34">
        <f t="shared" si="19"/>
        <v>7.0235815409326028</v>
      </c>
      <c r="S51" s="34">
        <f t="shared" si="19"/>
        <v>7.0235815409326028</v>
      </c>
      <c r="T51" s="34">
        <f t="shared" si="19"/>
        <v>10.59401424551616</v>
      </c>
      <c r="U51" s="34">
        <f t="shared" si="19"/>
        <v>14.269250709007474</v>
      </c>
      <c r="V51" s="34">
        <f t="shared" si="19"/>
        <v>14.269250709007474</v>
      </c>
      <c r="W51" s="34">
        <f t="shared" si="19"/>
        <v>14.269250709007474</v>
      </c>
      <c r="X51" s="34">
        <f t="shared" si="19"/>
        <v>13.800746294033972</v>
      </c>
      <c r="Y51" s="34">
        <f t="shared" si="19"/>
        <v>10.59401424551616</v>
      </c>
      <c r="Z51" s="34"/>
      <c r="AA51" s="34">
        <f t="shared" ref="AA51" si="20">((1+AA49)^AA$5-1)/(AA49*(1+AA49)^AA$5)</f>
        <v>0</v>
      </c>
    </row>
    <row r="52" spans="2:27" x14ac:dyDescent="0.25">
      <c r="B52" s="811" t="s">
        <v>55</v>
      </c>
      <c r="C52" s="811"/>
      <c r="D52">
        <f t="shared" ref="D52" si="21">((1+D49)^D$46-1)/(D49*(1+D49)^D$46)</f>
        <v>12.40904118350586</v>
      </c>
      <c r="K52">
        <f t="shared" ref="K52:Y52" si="22">((1+K49)^K$46-1)/(K49*(1+K49)^K$46)</f>
        <v>12.40904118350586</v>
      </c>
      <c r="L52">
        <f t="shared" si="22"/>
        <v>7.0235815409326028</v>
      </c>
      <c r="M52">
        <f t="shared" si="22"/>
        <v>12.40904118350586</v>
      </c>
      <c r="N52">
        <f t="shared" si="22"/>
        <v>4.100197435947595</v>
      </c>
      <c r="O52">
        <f t="shared" si="22"/>
        <v>7.0235815409326028</v>
      </c>
      <c r="P52">
        <f t="shared" si="22"/>
        <v>7.0235815409326028</v>
      </c>
      <c r="Q52">
        <f t="shared" si="22"/>
        <v>12.40904118350586</v>
      </c>
      <c r="R52">
        <f t="shared" si="22"/>
        <v>7.0235815409326028</v>
      </c>
      <c r="S52">
        <f t="shared" si="22"/>
        <v>7.0235815409326028</v>
      </c>
      <c r="T52">
        <f t="shared" si="22"/>
        <v>7.0235815409326028</v>
      </c>
      <c r="U52">
        <f t="shared" si="22"/>
        <v>12.40904118350586</v>
      </c>
      <c r="V52">
        <f t="shared" si="22"/>
        <v>12.40904118350586</v>
      </c>
      <c r="W52">
        <f t="shared" si="22"/>
        <v>12.40904118350586</v>
      </c>
      <c r="X52">
        <f t="shared" si="22"/>
        <v>12.40904118350586</v>
      </c>
      <c r="Y52">
        <f t="shared" si="22"/>
        <v>7.0235815409326028</v>
      </c>
      <c r="AA52">
        <f t="shared" ref="AA52" si="23">((1+AA49)^AA$46-1)/(AA49*(1+AA49)^AA$46)</f>
        <v>12.40904118350586</v>
      </c>
    </row>
    <row r="53" spans="2:27" x14ac:dyDescent="0.25">
      <c r="B53" t="s">
        <v>56</v>
      </c>
      <c r="D53">
        <f t="shared" ref="D53" si="24">D50*(D51-D52)/D51</f>
        <v>0.99859566857948445</v>
      </c>
      <c r="K53">
        <f t="shared" ref="K53:Y53" si="25">K50*(K51-K52)/K51</f>
        <v>0.99237091208782646</v>
      </c>
      <c r="L53">
        <f t="shared" si="25"/>
        <v>0.85373350679162563</v>
      </c>
      <c r="M53">
        <f t="shared" si="25"/>
        <v>0.95838103779630979</v>
      </c>
      <c r="N53">
        <f t="shared" si="25"/>
        <v>0</v>
      </c>
      <c r="O53">
        <f t="shared" si="25"/>
        <v>0.66297641084495229</v>
      </c>
      <c r="P53">
        <f t="shared" si="25"/>
        <v>0.66297641084495229</v>
      </c>
      <c r="Q53">
        <f t="shared" si="25"/>
        <v>0</v>
      </c>
      <c r="R53">
        <f t="shared" si="25"/>
        <v>0</v>
      </c>
      <c r="S53">
        <f t="shared" si="25"/>
        <v>0</v>
      </c>
      <c r="T53">
        <f t="shared" si="25"/>
        <v>0.66297641084495229</v>
      </c>
      <c r="U53">
        <f t="shared" si="25"/>
        <v>0.99237091208782646</v>
      </c>
      <c r="V53">
        <f t="shared" si="25"/>
        <v>0.99237091208782646</v>
      </c>
      <c r="W53">
        <f t="shared" si="25"/>
        <v>0.99237091208782646</v>
      </c>
      <c r="X53">
        <f t="shared" si="25"/>
        <v>0.76764067825056037</v>
      </c>
      <c r="Y53">
        <f t="shared" si="25"/>
        <v>0.66297641084495229</v>
      </c>
      <c r="AA53" t="e">
        <f t="shared" ref="AA53" si="26">AA50*(AA51-AA52)/AA51</f>
        <v>#DIV/0!</v>
      </c>
    </row>
    <row r="55" spans="2:27" x14ac:dyDescent="0.25">
      <c r="B55" t="s">
        <v>52</v>
      </c>
      <c r="D55">
        <v>0.03</v>
      </c>
      <c r="K55">
        <v>0.03</v>
      </c>
      <c r="L55">
        <v>0.03</v>
      </c>
      <c r="M55">
        <v>0.03</v>
      </c>
      <c r="N55">
        <v>0.03</v>
      </c>
      <c r="O55">
        <v>0.03</v>
      </c>
      <c r="P55">
        <v>0.03</v>
      </c>
      <c r="Q55">
        <v>0.03</v>
      </c>
      <c r="R55">
        <v>0.03</v>
      </c>
      <c r="S55">
        <v>0.03</v>
      </c>
      <c r="T55">
        <v>0.03</v>
      </c>
      <c r="U55">
        <v>0.03</v>
      </c>
      <c r="V55">
        <v>0.03</v>
      </c>
      <c r="W55">
        <v>0.03</v>
      </c>
      <c r="X55">
        <v>0.03</v>
      </c>
      <c r="Y55">
        <v>0.03</v>
      </c>
      <c r="AA55">
        <v>0.03</v>
      </c>
    </row>
    <row r="56" spans="2:27" x14ac:dyDescent="0.25">
      <c r="B56" s="811" t="s">
        <v>53</v>
      </c>
      <c r="C56" s="811"/>
      <c r="D56" s="34">
        <f t="shared" ref="D56" si="27">(1+D55)^D$46</f>
        <v>2.4272624711896591</v>
      </c>
      <c r="E56" s="34"/>
      <c r="F56" s="34"/>
      <c r="G56" s="34"/>
      <c r="H56" s="34"/>
      <c r="I56" s="34"/>
      <c r="J56" s="34"/>
      <c r="K56" s="34">
        <f t="shared" ref="K56:Y56" si="28">(1+K55)^K$46</f>
        <v>2.4272624711896591</v>
      </c>
      <c r="L56" s="34">
        <f t="shared" si="28"/>
        <v>1.3439163793441218</v>
      </c>
      <c r="M56" s="34">
        <f t="shared" si="28"/>
        <v>2.4272624711896591</v>
      </c>
      <c r="N56" s="34">
        <f t="shared" si="28"/>
        <v>1.1592740742999998</v>
      </c>
      <c r="O56" s="34">
        <f t="shared" si="28"/>
        <v>1.3439163793441218</v>
      </c>
      <c r="P56" s="34">
        <f t="shared" si="28"/>
        <v>1.3439163793441218</v>
      </c>
      <c r="Q56" s="34">
        <f t="shared" si="28"/>
        <v>2.4272624711896591</v>
      </c>
      <c r="R56" s="34">
        <f t="shared" si="28"/>
        <v>1.3439163793441218</v>
      </c>
      <c r="S56" s="34">
        <f t="shared" si="28"/>
        <v>1.3439163793441218</v>
      </c>
      <c r="T56" s="34">
        <f t="shared" si="28"/>
        <v>1.3439163793441218</v>
      </c>
      <c r="U56" s="34">
        <f t="shared" si="28"/>
        <v>2.4272624711896591</v>
      </c>
      <c r="V56" s="34">
        <f t="shared" si="28"/>
        <v>2.4272624711896591</v>
      </c>
      <c r="W56" s="34">
        <f t="shared" si="28"/>
        <v>2.4272624711896591</v>
      </c>
      <c r="X56" s="34">
        <f t="shared" si="28"/>
        <v>2.4272624711896591</v>
      </c>
      <c r="Y56" s="34">
        <f t="shared" si="28"/>
        <v>1.3439163793441218</v>
      </c>
      <c r="Z56" s="34"/>
      <c r="AA56" s="34">
        <f t="shared" ref="AA56" si="29">(1+AA55)^AA$46</f>
        <v>2.4272624711896591</v>
      </c>
    </row>
    <row r="57" spans="2:27" x14ac:dyDescent="0.25">
      <c r="B57" s="811" t="s">
        <v>54</v>
      </c>
      <c r="C57" s="811"/>
      <c r="D57" s="34">
        <f t="shared" ref="D57" si="30">((1+D55)^D$5-1)/(D55*(1+D55)^D$5)</f>
        <v>32.504960863434668</v>
      </c>
      <c r="E57" s="34"/>
      <c r="F57" s="34"/>
      <c r="G57" s="34"/>
      <c r="H57" s="34"/>
      <c r="I57" s="34"/>
      <c r="J57" s="34"/>
      <c r="K57" s="34">
        <f t="shared" ref="K57:Y57" si="31">((1+K55)^K$5-1)/(K55*(1+K55)^K$5)</f>
        <v>31.598905338326361</v>
      </c>
      <c r="L57" s="34">
        <f t="shared" si="31"/>
        <v>19.600441349469772</v>
      </c>
      <c r="M57" s="34">
        <f t="shared" si="31"/>
        <v>29.701826276813328</v>
      </c>
      <c r="N57" s="34">
        <f t="shared" si="31"/>
        <v>4.5797071871945301</v>
      </c>
      <c r="O57" s="34">
        <f t="shared" si="31"/>
        <v>14.877474860455502</v>
      </c>
      <c r="P57" s="34">
        <f t="shared" si="31"/>
        <v>14.877474860455502</v>
      </c>
      <c r="Q57" s="34">
        <f t="shared" si="31"/>
        <v>19.600441349469772</v>
      </c>
      <c r="R57" s="34">
        <f t="shared" si="31"/>
        <v>8.5302028367758282</v>
      </c>
      <c r="S57" s="34">
        <f t="shared" si="31"/>
        <v>8.5302028367758282</v>
      </c>
      <c r="T57" s="34">
        <f t="shared" si="31"/>
        <v>14.877474860455502</v>
      </c>
      <c r="U57" s="34">
        <f t="shared" si="31"/>
        <v>31.598905338326361</v>
      </c>
      <c r="V57" s="34">
        <f t="shared" si="31"/>
        <v>31.598905338326361</v>
      </c>
      <c r="W57" s="34">
        <f t="shared" si="31"/>
        <v>31.598905338326361</v>
      </c>
      <c r="X57" s="34">
        <f t="shared" si="31"/>
        <v>25.7297640070082</v>
      </c>
      <c r="Y57" s="34">
        <f t="shared" si="31"/>
        <v>14.877474860455502</v>
      </c>
      <c r="Z57" s="34"/>
      <c r="AA57" s="34">
        <f t="shared" ref="AA57" si="32">((1+AA55)^AA$5-1)/(AA55*(1+AA55)^AA$5)</f>
        <v>0</v>
      </c>
    </row>
    <row r="58" spans="2:27" x14ac:dyDescent="0.25">
      <c r="B58" s="811" t="s">
        <v>55</v>
      </c>
      <c r="C58" s="811"/>
      <c r="D58">
        <f t="shared" ref="D58" si="33">((1+D55)^D$46-1)/(D55*(1+D55)^D$46)</f>
        <v>19.600441349469772</v>
      </c>
      <c r="K58">
        <f t="shared" ref="K58:Y58" si="34">((1+K55)^K$46-1)/(K55*(1+K55)^K$46)</f>
        <v>19.600441349469772</v>
      </c>
      <c r="L58">
        <f t="shared" si="34"/>
        <v>8.5302028367758282</v>
      </c>
      <c r="M58">
        <f t="shared" si="34"/>
        <v>19.600441349469772</v>
      </c>
      <c r="N58">
        <f t="shared" si="34"/>
        <v>4.5797071871945301</v>
      </c>
      <c r="O58">
        <f t="shared" si="34"/>
        <v>8.5302028367758282</v>
      </c>
      <c r="P58">
        <f t="shared" si="34"/>
        <v>8.5302028367758282</v>
      </c>
      <c r="Q58">
        <f t="shared" si="34"/>
        <v>19.600441349469772</v>
      </c>
      <c r="R58">
        <f t="shared" si="34"/>
        <v>8.5302028367758282</v>
      </c>
      <c r="S58">
        <f t="shared" si="34"/>
        <v>8.5302028367758282</v>
      </c>
      <c r="T58">
        <f t="shared" si="34"/>
        <v>8.5302028367758282</v>
      </c>
      <c r="U58">
        <f t="shared" si="34"/>
        <v>19.600441349469772</v>
      </c>
      <c r="V58">
        <f t="shared" si="34"/>
        <v>19.600441349469772</v>
      </c>
      <c r="W58">
        <f t="shared" si="34"/>
        <v>19.600441349469772</v>
      </c>
      <c r="X58">
        <f t="shared" si="34"/>
        <v>19.600441349469772</v>
      </c>
      <c r="Y58">
        <f t="shared" si="34"/>
        <v>8.5302028367758282</v>
      </c>
      <c r="AA58">
        <f t="shared" ref="AA58" si="35">((1+AA55)^AA$46-1)/(AA55*(1+AA55)^AA$46)</f>
        <v>19.600441349469772</v>
      </c>
    </row>
    <row r="59" spans="2:27" x14ac:dyDescent="0.25">
      <c r="B59" t="s">
        <v>57</v>
      </c>
      <c r="D59">
        <f>D56*(D57-D58)/D57</f>
        <v>0.96362693856422854</v>
      </c>
      <c r="K59">
        <f t="shared" ref="K59:Y59" si="36">K56*(K57-K58)/K57</f>
        <v>0.92165918534995372</v>
      </c>
      <c r="L59">
        <f t="shared" si="36"/>
        <v>0.75903774793611789</v>
      </c>
      <c r="M59">
        <f t="shared" si="36"/>
        <v>0.82549511645088236</v>
      </c>
      <c r="N59">
        <f t="shared" si="36"/>
        <v>0</v>
      </c>
      <c r="O59">
        <f t="shared" si="36"/>
        <v>0.57336361961862226</v>
      </c>
      <c r="P59">
        <f t="shared" si="36"/>
        <v>0.57336361961862226</v>
      </c>
      <c r="Q59">
        <f t="shared" si="36"/>
        <v>0</v>
      </c>
      <c r="R59">
        <f t="shared" si="36"/>
        <v>0</v>
      </c>
      <c r="S59">
        <f t="shared" si="36"/>
        <v>0</v>
      </c>
      <c r="T59">
        <f t="shared" si="36"/>
        <v>0.57336361961862226</v>
      </c>
      <c r="U59">
        <f t="shared" si="36"/>
        <v>0.92165918534995372</v>
      </c>
      <c r="V59">
        <f t="shared" si="36"/>
        <v>0.92165918534995372</v>
      </c>
      <c r="W59">
        <f t="shared" si="36"/>
        <v>0.92165918534995372</v>
      </c>
      <c r="X59">
        <f t="shared" si="36"/>
        <v>0.57822041649520017</v>
      </c>
      <c r="Y59">
        <f t="shared" si="36"/>
        <v>0.57336361961862226</v>
      </c>
      <c r="AA59" t="e">
        <f t="shared" ref="AA59" si="37">AA56*(AA57-AA58)/AA57</f>
        <v>#DIV/0!</v>
      </c>
    </row>
  </sheetData>
  <mergeCells count="28">
    <mergeCell ref="Q3:T3"/>
    <mergeCell ref="U3:Y3"/>
    <mergeCell ref="Z3:Z4"/>
    <mergeCell ref="AA3:AA4"/>
    <mergeCell ref="N3:N4"/>
    <mergeCell ref="O3:O4"/>
    <mergeCell ref="P3:P4"/>
    <mergeCell ref="H3:H4"/>
    <mergeCell ref="J3:J4"/>
    <mergeCell ref="K3:K4"/>
    <mergeCell ref="L3:L4"/>
    <mergeCell ref="I3:I39"/>
    <mergeCell ref="D1:AA1"/>
    <mergeCell ref="B57:C57"/>
    <mergeCell ref="B58:C58"/>
    <mergeCell ref="B48:C48"/>
    <mergeCell ref="B50:C50"/>
    <mergeCell ref="B51:C51"/>
    <mergeCell ref="B52:C52"/>
    <mergeCell ref="B56:C56"/>
    <mergeCell ref="B40:B41"/>
    <mergeCell ref="D2:F2"/>
    <mergeCell ref="G2:Z2"/>
    <mergeCell ref="D3:D4"/>
    <mergeCell ref="E3:E4"/>
    <mergeCell ref="F3:F4"/>
    <mergeCell ref="M3:M4"/>
    <mergeCell ref="G3:G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sheetPr>
  <dimension ref="B1:AE76"/>
  <sheetViews>
    <sheetView topLeftCell="A25" workbookViewId="0">
      <selection activeCell="H53" sqref="H53"/>
    </sheetView>
    <sheetView workbookViewId="1"/>
  </sheetViews>
  <sheetFormatPr defaultRowHeight="15.75" x14ac:dyDescent="0.25"/>
  <cols>
    <col min="1" max="1" width="3" customWidth="1"/>
    <col min="3" max="3" width="12.125" customWidth="1"/>
    <col min="4" max="4" width="10.875" customWidth="1"/>
    <col min="5" max="5" width="12.25" customWidth="1"/>
    <col min="6" max="6" width="12.5" customWidth="1"/>
    <col min="7" max="7" width="17" customWidth="1"/>
    <col min="8" max="8" width="13.625" customWidth="1"/>
    <col min="9" max="9" width="5.25" customWidth="1"/>
    <col min="10" max="26" width="13" customWidth="1"/>
    <col min="27" max="27" width="16.75" customWidth="1"/>
    <col min="28" max="28" width="12.875" customWidth="1"/>
    <col min="29" max="29" width="12.5" customWidth="1"/>
    <col min="30" max="30" width="12.875" customWidth="1"/>
    <col min="31" max="32" width="12.125" customWidth="1"/>
  </cols>
  <sheetData>
    <row r="1" spans="2:31" ht="16.5" thickBot="1" x14ac:dyDescent="0.3">
      <c r="E1" s="810" t="s">
        <v>220</v>
      </c>
      <c r="F1" s="810"/>
      <c r="G1" s="810"/>
      <c r="H1" s="810"/>
      <c r="I1" s="810"/>
      <c r="J1" s="810"/>
      <c r="K1" s="810"/>
      <c r="L1" s="810"/>
      <c r="M1" s="810"/>
      <c r="N1" s="810"/>
      <c r="O1" s="810"/>
      <c r="P1" s="810"/>
      <c r="Q1" s="810"/>
      <c r="R1" s="810"/>
      <c r="S1" s="810"/>
      <c r="T1" s="810"/>
      <c r="U1" s="810"/>
      <c r="V1" s="810"/>
      <c r="W1" s="810"/>
      <c r="X1" s="810"/>
      <c r="Y1" s="810"/>
      <c r="Z1" s="810"/>
      <c r="AA1" s="810"/>
    </row>
    <row r="2" spans="2:31" ht="32.25" customHeight="1" thickBot="1" x14ac:dyDescent="0.3">
      <c r="D2" s="815" t="s">
        <v>118</v>
      </c>
      <c r="E2" s="816"/>
      <c r="F2" s="817"/>
      <c r="G2" s="818" t="s">
        <v>132</v>
      </c>
      <c r="H2" s="819"/>
      <c r="I2" s="819"/>
      <c r="J2" s="819"/>
      <c r="K2" s="819"/>
      <c r="L2" s="819"/>
      <c r="M2" s="819"/>
      <c r="N2" s="819"/>
      <c r="O2" s="819"/>
      <c r="P2" s="819"/>
      <c r="Q2" s="819"/>
      <c r="R2" s="819"/>
      <c r="S2" s="819"/>
      <c r="T2" s="819"/>
      <c r="U2" s="819"/>
      <c r="V2" s="819"/>
      <c r="W2" s="819"/>
      <c r="X2" s="819"/>
      <c r="Y2" s="819"/>
      <c r="Z2" s="819"/>
      <c r="AA2" s="843" t="s">
        <v>121</v>
      </c>
      <c r="AB2" s="211"/>
      <c r="AC2" s="177" t="s">
        <v>176</v>
      </c>
      <c r="AD2" s="178"/>
    </row>
    <row r="3" spans="2:31" ht="19.5" customHeight="1" x14ac:dyDescent="0.25">
      <c r="B3" s="219"/>
      <c r="C3" s="219"/>
      <c r="D3" s="821" t="s">
        <v>177</v>
      </c>
      <c r="E3" s="823" t="s">
        <v>92</v>
      </c>
      <c r="F3" s="825" t="s">
        <v>102</v>
      </c>
      <c r="G3" s="821" t="s">
        <v>140</v>
      </c>
      <c r="H3" s="827" t="s">
        <v>175</v>
      </c>
      <c r="I3" s="198"/>
      <c r="J3" s="829" t="s">
        <v>173</v>
      </c>
      <c r="K3" s="823" t="s">
        <v>174</v>
      </c>
      <c r="L3" s="841" t="s">
        <v>134</v>
      </c>
      <c r="M3" s="841" t="s">
        <v>135</v>
      </c>
      <c r="N3" s="823" t="s">
        <v>143</v>
      </c>
      <c r="O3" s="823" t="s">
        <v>144</v>
      </c>
      <c r="P3" s="841" t="s">
        <v>142</v>
      </c>
      <c r="Q3" s="833" t="s">
        <v>136</v>
      </c>
      <c r="R3" s="834"/>
      <c r="S3" s="834"/>
      <c r="T3" s="835"/>
      <c r="U3" s="836" t="s">
        <v>137</v>
      </c>
      <c r="V3" s="837"/>
      <c r="W3" s="837"/>
      <c r="X3" s="837"/>
      <c r="Y3" s="838"/>
      <c r="Z3" s="825" t="s">
        <v>171</v>
      </c>
      <c r="AA3" s="844"/>
      <c r="AB3" s="212"/>
      <c r="AC3" s="179" t="s">
        <v>34</v>
      </c>
      <c r="AD3" s="180">
        <v>2021</v>
      </c>
    </row>
    <row r="4" spans="2:31" ht="52.5" customHeight="1" thickBot="1" x14ac:dyDescent="0.3">
      <c r="B4" s="219"/>
      <c r="C4" s="219"/>
      <c r="D4" s="822"/>
      <c r="E4" s="824"/>
      <c r="F4" s="826"/>
      <c r="G4" s="822"/>
      <c r="H4" s="828"/>
      <c r="I4" s="199"/>
      <c r="J4" s="830"/>
      <c r="K4" s="824"/>
      <c r="L4" s="842"/>
      <c r="M4" s="842"/>
      <c r="N4" s="824"/>
      <c r="O4" s="824"/>
      <c r="P4" s="842"/>
      <c r="Q4" s="236" t="s">
        <v>221</v>
      </c>
      <c r="R4" s="170" t="s">
        <v>151</v>
      </c>
      <c r="S4" s="236" t="s">
        <v>152</v>
      </c>
      <c r="T4" s="170" t="s">
        <v>153</v>
      </c>
      <c r="U4" s="171" t="s">
        <v>154</v>
      </c>
      <c r="V4" s="171" t="s">
        <v>158</v>
      </c>
      <c r="W4" s="171" t="s">
        <v>155</v>
      </c>
      <c r="X4" s="171" t="s">
        <v>156</v>
      </c>
      <c r="Y4" s="171" t="s">
        <v>172</v>
      </c>
      <c r="Z4" s="826"/>
      <c r="AA4" s="845"/>
      <c r="AB4" s="213"/>
      <c r="AC4" s="45"/>
      <c r="AD4" s="214"/>
    </row>
    <row r="5" spans="2:31" ht="32.25" thickBot="1" x14ac:dyDescent="0.3">
      <c r="B5" s="219"/>
      <c r="C5" s="119" t="s">
        <v>45</v>
      </c>
      <c r="D5" s="197" t="str">
        <f>CostItems!F4</f>
        <v>-</v>
      </c>
      <c r="E5" s="172">
        <f>CostItems!F5</f>
        <v>100</v>
      </c>
      <c r="F5" s="169" t="str">
        <f>CostItems!F6</f>
        <v>-</v>
      </c>
      <c r="G5" s="173" t="str">
        <f>CostItems!F8</f>
        <v>-</v>
      </c>
      <c r="H5" s="169" t="str">
        <f>CostItems!F9</f>
        <v>-</v>
      </c>
      <c r="I5" s="199"/>
      <c r="J5" s="173" t="str">
        <f>CostItems!$F12</f>
        <v>-</v>
      </c>
      <c r="K5" s="172">
        <f>CostItems!$F13</f>
        <v>100</v>
      </c>
      <c r="L5" s="225">
        <f>CostItems!$F14</f>
        <v>30</v>
      </c>
      <c r="M5" s="225">
        <f>CostItems!$F15</f>
        <v>75</v>
      </c>
      <c r="N5" s="172">
        <f>CostItems!$F16</f>
        <v>5</v>
      </c>
      <c r="O5" s="172">
        <f>CostItems!$F17</f>
        <v>20</v>
      </c>
      <c r="P5" s="225">
        <f>CostItems!$F18</f>
        <v>20</v>
      </c>
      <c r="Q5" s="225">
        <f>CostItems!$F20</f>
        <v>30</v>
      </c>
      <c r="R5" s="172">
        <f>CostItems!$F21</f>
        <v>10</v>
      </c>
      <c r="S5" s="225">
        <f>CostItems!$F22</f>
        <v>10</v>
      </c>
      <c r="T5" s="172">
        <f>CostItems!$F23</f>
        <v>20</v>
      </c>
      <c r="U5" s="172">
        <f>CostItems!$F25</f>
        <v>100</v>
      </c>
      <c r="V5" s="172">
        <f>CostItems!$F26</f>
        <v>100</v>
      </c>
      <c r="W5" s="172">
        <f>CostItems!$F27</f>
        <v>100</v>
      </c>
      <c r="X5" s="172">
        <f>CostItems!$F28</f>
        <v>50</v>
      </c>
      <c r="Y5" s="172">
        <f>CostItems!$F29</f>
        <v>20</v>
      </c>
      <c r="Z5" s="206" t="str">
        <f>CostItems!$F32</f>
        <v>-</v>
      </c>
      <c r="AA5" s="325" t="s">
        <v>363</v>
      </c>
      <c r="AB5" s="25" t="s">
        <v>105</v>
      </c>
      <c r="AC5" s="25" t="s">
        <v>35</v>
      </c>
      <c r="AD5" s="25" t="s">
        <v>36</v>
      </c>
    </row>
    <row r="6" spans="2:31" x14ac:dyDescent="0.25">
      <c r="B6" s="77"/>
      <c r="C6" s="202">
        <v>2021</v>
      </c>
      <c r="D6" s="73"/>
      <c r="E6" s="221"/>
      <c r="F6" s="222"/>
      <c r="G6" s="139"/>
      <c r="H6" s="49"/>
      <c r="I6" s="199"/>
      <c r="J6" s="72"/>
      <c r="K6" s="72"/>
      <c r="L6" s="226"/>
      <c r="M6" s="226"/>
      <c r="N6" s="72"/>
      <c r="O6" s="72"/>
      <c r="P6" s="226"/>
      <c r="Q6" s="226"/>
      <c r="R6" s="72"/>
      <c r="S6" s="226"/>
      <c r="T6" s="72"/>
      <c r="U6" s="72"/>
      <c r="V6" s="72"/>
      <c r="W6" s="72"/>
      <c r="X6" s="72"/>
      <c r="Y6" s="72"/>
      <c r="Z6" s="207"/>
      <c r="AA6" s="129"/>
      <c r="AB6" s="86"/>
      <c r="AC6" s="86"/>
      <c r="AD6" s="86"/>
    </row>
    <row r="7" spans="2:31" x14ac:dyDescent="0.25">
      <c r="B7" s="78"/>
      <c r="C7" s="202">
        <v>2022</v>
      </c>
      <c r="D7" s="121"/>
      <c r="E7" s="92"/>
      <c r="F7" s="93"/>
      <c r="G7" s="100"/>
      <c r="H7" s="93"/>
      <c r="I7" s="199"/>
      <c r="J7" s="128"/>
      <c r="K7" s="128"/>
      <c r="L7" s="227"/>
      <c r="M7" s="227"/>
      <c r="N7" s="128"/>
      <c r="O7" s="128"/>
      <c r="P7" s="227"/>
      <c r="Q7" s="227"/>
      <c r="R7" s="128"/>
      <c r="S7" s="227"/>
      <c r="T7" s="128"/>
      <c r="U7" s="128"/>
      <c r="V7" s="128"/>
      <c r="W7" s="128"/>
      <c r="X7" s="128"/>
      <c r="Y7" s="128"/>
      <c r="Z7" s="208"/>
      <c r="AA7" s="128"/>
      <c r="AB7" s="86"/>
      <c r="AC7" s="86"/>
      <c r="AD7" s="86"/>
    </row>
    <row r="8" spans="2:31" x14ac:dyDescent="0.25">
      <c r="B8" s="78"/>
      <c r="C8" s="202">
        <v>2023</v>
      </c>
      <c r="D8" s="121"/>
      <c r="E8" s="92"/>
      <c r="F8" s="93"/>
      <c r="G8" s="100"/>
      <c r="H8" s="93"/>
      <c r="I8" s="199"/>
      <c r="J8" s="128"/>
      <c r="K8" s="128"/>
      <c r="L8" s="227"/>
      <c r="M8" s="227"/>
      <c r="N8" s="128"/>
      <c r="O8" s="128"/>
      <c r="P8" s="227"/>
      <c r="Q8" s="227"/>
      <c r="R8" s="128"/>
      <c r="S8" s="227"/>
      <c r="T8" s="128"/>
      <c r="U8" s="128"/>
      <c r="V8" s="128"/>
      <c r="W8" s="128"/>
      <c r="X8" s="128"/>
      <c r="Y8" s="128"/>
      <c r="Z8" s="208"/>
      <c r="AA8" s="128"/>
      <c r="AB8" s="86"/>
      <c r="AC8" s="86"/>
      <c r="AD8" s="86"/>
    </row>
    <row r="9" spans="2:31" ht="16.5" thickBot="1" x14ac:dyDescent="0.3">
      <c r="B9" s="79"/>
      <c r="C9" s="203">
        <v>2024</v>
      </c>
      <c r="D9" s="122"/>
      <c r="E9" s="94"/>
      <c r="F9" s="95"/>
      <c r="G9" s="137"/>
      <c r="H9" s="95"/>
      <c r="I9" s="199"/>
      <c r="J9" s="111"/>
      <c r="K9" s="111"/>
      <c r="L9" s="228"/>
      <c r="M9" s="228"/>
      <c r="N9" s="111"/>
      <c r="O9" s="111"/>
      <c r="P9" s="228"/>
      <c r="Q9" s="228"/>
      <c r="R9" s="111"/>
      <c r="S9" s="228"/>
      <c r="T9" s="111"/>
      <c r="U9" s="111"/>
      <c r="V9" s="111"/>
      <c r="W9" s="111"/>
      <c r="X9" s="111"/>
      <c r="Y9" s="111"/>
      <c r="Z9" s="209"/>
      <c r="AA9" s="111"/>
      <c r="AB9" s="215"/>
      <c r="AC9" s="215"/>
      <c r="AD9" s="215"/>
    </row>
    <row r="10" spans="2:31" x14ac:dyDescent="0.25">
      <c r="B10" s="80">
        <v>1</v>
      </c>
      <c r="C10" s="81">
        <v>2025</v>
      </c>
      <c r="D10" s="123"/>
      <c r="E10" s="98"/>
      <c r="F10" s="110"/>
      <c r="G10" s="220"/>
      <c r="H10" s="110"/>
      <c r="I10" s="199"/>
      <c r="J10" s="112"/>
      <c r="K10" s="112"/>
      <c r="L10" s="229">
        <f>-1*G52</f>
        <v>-13382.46254300199</v>
      </c>
      <c r="M10" s="229">
        <f>CostItems!H15</f>
        <v>1910.4891921939604</v>
      </c>
      <c r="N10" s="112"/>
      <c r="O10" s="112"/>
      <c r="P10" s="229">
        <f>CostItems!H18</f>
        <v>51724.629491173415</v>
      </c>
      <c r="Q10" s="229">
        <f>CostItems!H20</f>
        <v>2531.2125337135453</v>
      </c>
      <c r="R10" s="112"/>
      <c r="S10" s="229">
        <f>CostItems!H22</f>
        <v>1910.4891921939604</v>
      </c>
      <c r="T10" s="112"/>
      <c r="U10" s="112">
        <f>CostItems!H25</f>
        <v>3820.9783843879209</v>
      </c>
      <c r="V10" s="112">
        <f>CostItems!H26</f>
        <v>1910.4891921939604</v>
      </c>
      <c r="W10" s="112">
        <f>CostItems!H27</f>
        <v>2865.7337882909405</v>
      </c>
      <c r="X10" s="112">
        <f>CostItems!H28</f>
        <v>955.24459609698022</v>
      </c>
      <c r="Y10" s="112">
        <f>CostItems!H29</f>
        <v>2865.7337882909405</v>
      </c>
      <c r="Z10" s="210"/>
      <c r="AA10" s="83"/>
      <c r="AB10" s="83">
        <f t="shared" ref="AB10" si="0">SUM(D10:AA10)</f>
        <v>57112.537615533634</v>
      </c>
      <c r="AC10" s="235">
        <f t="shared" ref="AC10" si="1">$AB10*(1+0.07)^-(C10-$AD$3)</f>
        <v>43570.881494774789</v>
      </c>
      <c r="AD10" s="83">
        <f t="shared" ref="AD10" si="2">$AB10*(1+0.03)^-(C10-$AD$3)</f>
        <v>50743.749944999225</v>
      </c>
      <c r="AE10">
        <f>C10-AD3</f>
        <v>4</v>
      </c>
    </row>
    <row r="11" spans="2:31" x14ac:dyDescent="0.25">
      <c r="B11" s="80">
        <f t="shared" ref="B11:B39" si="3">B10+1</f>
        <v>2</v>
      </c>
      <c r="C11" s="91">
        <f t="shared" ref="C11:C39" si="4">C10+1</f>
        <v>2026</v>
      </c>
      <c r="D11" s="121"/>
      <c r="E11" s="92"/>
      <c r="F11" s="93"/>
      <c r="G11" s="100"/>
      <c r="H11" s="93"/>
      <c r="I11" s="199"/>
      <c r="J11" s="128"/>
      <c r="K11" s="128"/>
      <c r="L11" s="227">
        <f>L10</f>
        <v>-13382.46254300199</v>
      </c>
      <c r="M11" s="227">
        <f>M10</f>
        <v>1910.4891921939604</v>
      </c>
      <c r="N11" s="128"/>
      <c r="O11" s="128"/>
      <c r="P11" s="227">
        <f t="shared" ref="P11:P39" si="5">P10</f>
        <v>51724.629491173415</v>
      </c>
      <c r="Q11" s="227">
        <f>Q10</f>
        <v>2531.2125337135453</v>
      </c>
      <c r="R11" s="128"/>
      <c r="S11" s="227">
        <f>S10</f>
        <v>1910.4891921939604</v>
      </c>
      <c r="T11" s="128"/>
      <c r="U11" s="128">
        <f>U10</f>
        <v>3820.9783843879209</v>
      </c>
      <c r="V11" s="128">
        <f>V10</f>
        <v>1910.4891921939604</v>
      </c>
      <c r="W11" s="128">
        <f>W10</f>
        <v>2865.7337882909405</v>
      </c>
      <c r="X11" s="128">
        <f>X10</f>
        <v>955.24459609698022</v>
      </c>
      <c r="Y11" s="128">
        <f>Y10</f>
        <v>2865.7337882909405</v>
      </c>
      <c r="Z11" s="208"/>
      <c r="AA11" s="84"/>
      <c r="AB11" s="84">
        <f t="shared" ref="AB11" si="6">SUM(D11:AA11)</f>
        <v>57112.537615533634</v>
      </c>
      <c r="AC11" s="84">
        <f>$AB11*(1+0.07)^-(C11-$AD$3)</f>
        <v>40720.449995116629</v>
      </c>
      <c r="AD11" s="84">
        <f>$AB11*(1+0.03)^-(C11-$AD$3)</f>
        <v>49265.776645630314</v>
      </c>
    </row>
    <row r="12" spans="2:31" x14ac:dyDescent="0.25">
      <c r="B12" s="80">
        <f t="shared" si="3"/>
        <v>3</v>
      </c>
      <c r="C12" s="91">
        <f t="shared" si="4"/>
        <v>2027</v>
      </c>
      <c r="D12" s="121"/>
      <c r="E12" s="92"/>
      <c r="F12" s="93"/>
      <c r="G12" s="100"/>
      <c r="H12" s="93"/>
      <c r="I12" s="199"/>
      <c r="J12" s="128"/>
      <c r="K12" s="128"/>
      <c r="L12" s="227">
        <f>L11</f>
        <v>-13382.46254300199</v>
      </c>
      <c r="M12" s="227">
        <f t="shared" ref="M12:M39" si="7">M11</f>
        <v>1910.4891921939604</v>
      </c>
      <c r="N12" s="128"/>
      <c r="O12" s="128"/>
      <c r="P12" s="227">
        <f t="shared" si="5"/>
        <v>51724.629491173415</v>
      </c>
      <c r="Q12" s="227">
        <f t="shared" ref="Q12:S39" si="8">Q11</f>
        <v>2531.2125337135453</v>
      </c>
      <c r="R12" s="128"/>
      <c r="S12" s="227">
        <f t="shared" si="8"/>
        <v>1910.4891921939604</v>
      </c>
      <c r="T12" s="128"/>
      <c r="U12" s="128">
        <f t="shared" ref="U12:U39" si="9">U11</f>
        <v>3820.9783843879209</v>
      </c>
      <c r="V12" s="128">
        <f t="shared" ref="V12:V39" si="10">V11</f>
        <v>1910.4891921939604</v>
      </c>
      <c r="W12" s="128">
        <f t="shared" ref="W12:W39" si="11">W11</f>
        <v>2865.7337882909405</v>
      </c>
      <c r="X12" s="128">
        <f t="shared" ref="X12:X39" si="12">X11</f>
        <v>955.24459609698022</v>
      </c>
      <c r="Y12" s="128">
        <f t="shared" ref="Y12:Y39" si="13">Y11</f>
        <v>2865.7337882909405</v>
      </c>
      <c r="Z12" s="208"/>
      <c r="AA12" s="84"/>
      <c r="AB12" s="84">
        <f t="shared" ref="AB12:AB39" si="14">SUM(D12:AA12)</f>
        <v>57112.537615533634</v>
      </c>
      <c r="AC12" s="84">
        <f t="shared" ref="AC12:AC39" si="15">$AB12*(1+0.07)^-(C12-$AD$3)</f>
        <v>38056.495322538904</v>
      </c>
      <c r="AD12" s="84">
        <f t="shared" ref="AD12:AD39" si="16">$AB12*(1+0.03)^-(C12-$AD$3)</f>
        <v>47830.85111226244</v>
      </c>
    </row>
    <row r="13" spans="2:31" x14ac:dyDescent="0.25">
      <c r="B13" s="80">
        <f t="shared" si="3"/>
        <v>4</v>
      </c>
      <c r="C13" s="91">
        <f t="shared" si="4"/>
        <v>2028</v>
      </c>
      <c r="D13" s="121"/>
      <c r="E13" s="92"/>
      <c r="F13" s="93"/>
      <c r="G13" s="100"/>
      <c r="H13" s="93"/>
      <c r="I13" s="199"/>
      <c r="J13" s="128"/>
      <c r="K13" s="128"/>
      <c r="L13" s="227">
        <f>L12</f>
        <v>-13382.46254300199</v>
      </c>
      <c r="M13" s="227">
        <f t="shared" si="7"/>
        <v>1910.4891921939604</v>
      </c>
      <c r="N13" s="128"/>
      <c r="O13" s="128"/>
      <c r="P13" s="227">
        <f t="shared" si="5"/>
        <v>51724.629491173415</v>
      </c>
      <c r="Q13" s="227">
        <f t="shared" si="8"/>
        <v>2531.2125337135453</v>
      </c>
      <c r="R13" s="128"/>
      <c r="S13" s="227">
        <f t="shared" si="8"/>
        <v>1910.4891921939604</v>
      </c>
      <c r="T13" s="128"/>
      <c r="U13" s="128">
        <f t="shared" si="9"/>
        <v>3820.9783843879209</v>
      </c>
      <c r="V13" s="128">
        <f t="shared" si="10"/>
        <v>1910.4891921939604</v>
      </c>
      <c r="W13" s="128">
        <f t="shared" si="11"/>
        <v>2865.7337882909405</v>
      </c>
      <c r="X13" s="128">
        <f t="shared" si="12"/>
        <v>955.24459609698022</v>
      </c>
      <c r="Y13" s="128">
        <f t="shared" si="13"/>
        <v>2865.7337882909405</v>
      </c>
      <c r="Z13" s="208"/>
      <c r="AA13" s="84"/>
      <c r="AB13" s="84">
        <f t="shared" si="14"/>
        <v>57112.537615533634</v>
      </c>
      <c r="AC13" s="84">
        <f t="shared" si="15"/>
        <v>35566.81805844757</v>
      </c>
      <c r="AD13" s="84">
        <f t="shared" si="16"/>
        <v>46437.719526468383</v>
      </c>
    </row>
    <row r="14" spans="2:31" x14ac:dyDescent="0.25">
      <c r="B14" s="80">
        <f t="shared" si="3"/>
        <v>5</v>
      </c>
      <c r="C14" s="91">
        <f t="shared" si="4"/>
        <v>2029</v>
      </c>
      <c r="D14" s="121"/>
      <c r="E14" s="92"/>
      <c r="F14" s="93"/>
      <c r="G14" s="100"/>
      <c r="H14" s="93"/>
      <c r="I14" s="199"/>
      <c r="J14" s="128"/>
      <c r="K14" s="128"/>
      <c r="L14" s="227">
        <f>L13</f>
        <v>-13382.46254300199</v>
      </c>
      <c r="M14" s="227">
        <f t="shared" si="7"/>
        <v>1910.4891921939604</v>
      </c>
      <c r="N14" s="128"/>
      <c r="O14" s="128"/>
      <c r="P14" s="227">
        <f t="shared" si="5"/>
        <v>51724.629491173415</v>
      </c>
      <c r="Q14" s="227">
        <f t="shared" si="8"/>
        <v>2531.2125337135453</v>
      </c>
      <c r="R14" s="128"/>
      <c r="S14" s="227">
        <f t="shared" si="8"/>
        <v>1910.4891921939604</v>
      </c>
      <c r="T14" s="128"/>
      <c r="U14" s="128">
        <f t="shared" si="9"/>
        <v>3820.9783843879209</v>
      </c>
      <c r="V14" s="128">
        <f t="shared" si="10"/>
        <v>1910.4891921939604</v>
      </c>
      <c r="W14" s="128">
        <f t="shared" si="11"/>
        <v>2865.7337882909405</v>
      </c>
      <c r="X14" s="128">
        <f t="shared" si="12"/>
        <v>955.24459609698022</v>
      </c>
      <c r="Y14" s="128">
        <f t="shared" si="13"/>
        <v>2865.7337882909405</v>
      </c>
      <c r="Z14" s="208"/>
      <c r="AA14" s="84"/>
      <c r="AB14" s="84">
        <f t="shared" si="14"/>
        <v>57112.537615533634</v>
      </c>
      <c r="AC14" s="84">
        <f t="shared" si="15"/>
        <v>33240.016877053808</v>
      </c>
      <c r="AD14" s="84">
        <f t="shared" si="16"/>
        <v>45085.164588804262</v>
      </c>
    </row>
    <row r="15" spans="2:31" x14ac:dyDescent="0.25">
      <c r="B15" s="80">
        <f t="shared" si="3"/>
        <v>6</v>
      </c>
      <c r="C15" s="91">
        <f t="shared" si="4"/>
        <v>2030</v>
      </c>
      <c r="D15" s="121"/>
      <c r="E15" s="92"/>
      <c r="F15" s="93"/>
      <c r="G15" s="100"/>
      <c r="H15" s="93"/>
      <c r="I15" s="199"/>
      <c r="J15" s="128"/>
      <c r="K15" s="128"/>
      <c r="L15" s="227">
        <f>G54</f>
        <v>-9544.978020632725</v>
      </c>
      <c r="M15" s="227">
        <f t="shared" si="7"/>
        <v>1910.4891921939604</v>
      </c>
      <c r="N15" s="128"/>
      <c r="O15" s="128"/>
      <c r="P15" s="227">
        <f t="shared" si="5"/>
        <v>51724.629491173415</v>
      </c>
      <c r="Q15" s="227">
        <f t="shared" si="8"/>
        <v>2531.2125337135453</v>
      </c>
      <c r="R15" s="128"/>
      <c r="S15" s="227">
        <f t="shared" si="8"/>
        <v>1910.4891921939604</v>
      </c>
      <c r="T15" s="128"/>
      <c r="U15" s="128">
        <f t="shared" si="9"/>
        <v>3820.9783843879209</v>
      </c>
      <c r="V15" s="128">
        <f t="shared" si="10"/>
        <v>1910.4891921939604</v>
      </c>
      <c r="W15" s="128">
        <f t="shared" si="11"/>
        <v>2865.7337882909405</v>
      </c>
      <c r="X15" s="128">
        <f t="shared" si="12"/>
        <v>955.24459609698022</v>
      </c>
      <c r="Y15" s="128">
        <f t="shared" si="13"/>
        <v>2865.7337882909405</v>
      </c>
      <c r="Z15" s="208"/>
      <c r="AA15" s="84"/>
      <c r="AB15" s="84">
        <f t="shared" si="14"/>
        <v>60950.022137902903</v>
      </c>
      <c r="AC15" s="84">
        <f t="shared" si="15"/>
        <v>33152.773652056203</v>
      </c>
      <c r="AD15" s="84">
        <f t="shared" si="16"/>
        <v>46713.116803203266</v>
      </c>
    </row>
    <row r="16" spans="2:31" x14ac:dyDescent="0.25">
      <c r="B16" s="80">
        <f t="shared" si="3"/>
        <v>7</v>
      </c>
      <c r="C16" s="91">
        <f t="shared" si="4"/>
        <v>2031</v>
      </c>
      <c r="D16" s="121"/>
      <c r="E16" s="92"/>
      <c r="F16" s="93"/>
      <c r="G16" s="100"/>
      <c r="H16" s="93"/>
      <c r="I16" s="199" t="s">
        <v>232</v>
      </c>
      <c r="J16" s="128"/>
      <c r="K16" s="128"/>
      <c r="L16" s="227">
        <f>L15</f>
        <v>-9544.978020632725</v>
      </c>
      <c r="M16" s="227">
        <f t="shared" si="7"/>
        <v>1910.4891921939604</v>
      </c>
      <c r="N16" s="128"/>
      <c r="O16" s="128"/>
      <c r="P16" s="227">
        <f t="shared" si="5"/>
        <v>51724.629491173415</v>
      </c>
      <c r="Q16" s="227">
        <f t="shared" si="8"/>
        <v>2531.2125337135453</v>
      </c>
      <c r="R16" s="128"/>
      <c r="S16" s="227">
        <f t="shared" si="8"/>
        <v>1910.4891921939604</v>
      </c>
      <c r="T16" s="128"/>
      <c r="U16" s="128">
        <f t="shared" si="9"/>
        <v>3820.9783843879209</v>
      </c>
      <c r="V16" s="128">
        <f t="shared" si="10"/>
        <v>1910.4891921939604</v>
      </c>
      <c r="W16" s="128">
        <f t="shared" si="11"/>
        <v>2865.7337882909405</v>
      </c>
      <c r="X16" s="128">
        <f t="shared" si="12"/>
        <v>955.24459609698022</v>
      </c>
      <c r="Y16" s="128">
        <f t="shared" si="13"/>
        <v>2865.7337882909405</v>
      </c>
      <c r="Z16" s="208"/>
      <c r="AA16" s="84"/>
      <c r="AB16" s="84">
        <f t="shared" si="14"/>
        <v>60950.022137902903</v>
      </c>
      <c r="AC16" s="84">
        <f t="shared" si="15"/>
        <v>30983.900609398319</v>
      </c>
      <c r="AD16" s="84">
        <f t="shared" si="16"/>
        <v>45352.54058563424</v>
      </c>
    </row>
    <row r="17" spans="2:30" x14ac:dyDescent="0.25">
      <c r="B17" s="80">
        <f t="shared" si="3"/>
        <v>8</v>
      </c>
      <c r="C17" s="91">
        <f t="shared" si="4"/>
        <v>2032</v>
      </c>
      <c r="D17" s="121"/>
      <c r="E17" s="92"/>
      <c r="F17" s="93"/>
      <c r="G17" s="100"/>
      <c r="H17" s="93"/>
      <c r="I17" s="199" t="s">
        <v>231</v>
      </c>
      <c r="J17" s="128"/>
      <c r="K17" s="128"/>
      <c r="L17" s="227">
        <f t="shared" ref="L17:L39" si="17">L16</f>
        <v>-9544.978020632725</v>
      </c>
      <c r="M17" s="227">
        <f t="shared" si="7"/>
        <v>1910.4891921939604</v>
      </c>
      <c r="N17" s="128"/>
      <c r="O17" s="128"/>
      <c r="P17" s="227">
        <f t="shared" si="5"/>
        <v>51724.629491173415</v>
      </c>
      <c r="Q17" s="227">
        <f t="shared" si="8"/>
        <v>2531.2125337135453</v>
      </c>
      <c r="R17" s="128"/>
      <c r="S17" s="227">
        <f t="shared" si="8"/>
        <v>1910.4891921939604</v>
      </c>
      <c r="T17" s="128"/>
      <c r="U17" s="128">
        <f t="shared" si="9"/>
        <v>3820.9783843879209</v>
      </c>
      <c r="V17" s="128">
        <f t="shared" si="10"/>
        <v>1910.4891921939604</v>
      </c>
      <c r="W17" s="128">
        <f t="shared" si="11"/>
        <v>2865.7337882909405</v>
      </c>
      <c r="X17" s="128">
        <f t="shared" si="12"/>
        <v>955.24459609698022</v>
      </c>
      <c r="Y17" s="128">
        <f t="shared" si="13"/>
        <v>2865.7337882909405</v>
      </c>
      <c r="Z17" s="208"/>
      <c r="AA17" s="84"/>
      <c r="AB17" s="84">
        <f t="shared" si="14"/>
        <v>60950.022137902903</v>
      </c>
      <c r="AC17" s="84">
        <f t="shared" si="15"/>
        <v>28956.916457381605</v>
      </c>
      <c r="AD17" s="84">
        <f t="shared" si="16"/>
        <v>44031.592801586638</v>
      </c>
    </row>
    <row r="18" spans="2:30" x14ac:dyDescent="0.25">
      <c r="B18" s="80">
        <f t="shared" si="3"/>
        <v>9</v>
      </c>
      <c r="C18" s="91">
        <f t="shared" si="4"/>
        <v>2033</v>
      </c>
      <c r="D18" s="121"/>
      <c r="E18" s="92"/>
      <c r="F18" s="93"/>
      <c r="G18" s="100"/>
      <c r="H18" s="93"/>
      <c r="I18" s="199" t="s">
        <v>237</v>
      </c>
      <c r="J18" s="128"/>
      <c r="K18" s="128"/>
      <c r="L18" s="227">
        <f t="shared" si="17"/>
        <v>-9544.978020632725</v>
      </c>
      <c r="M18" s="227">
        <f t="shared" si="7"/>
        <v>1910.4891921939604</v>
      </c>
      <c r="N18" s="128"/>
      <c r="O18" s="128"/>
      <c r="P18" s="227">
        <f t="shared" si="5"/>
        <v>51724.629491173415</v>
      </c>
      <c r="Q18" s="227">
        <f t="shared" si="8"/>
        <v>2531.2125337135453</v>
      </c>
      <c r="R18" s="128"/>
      <c r="S18" s="227">
        <f t="shared" si="8"/>
        <v>1910.4891921939604</v>
      </c>
      <c r="T18" s="128"/>
      <c r="U18" s="128">
        <f t="shared" si="9"/>
        <v>3820.9783843879209</v>
      </c>
      <c r="V18" s="128">
        <f t="shared" si="10"/>
        <v>1910.4891921939604</v>
      </c>
      <c r="W18" s="128">
        <f t="shared" si="11"/>
        <v>2865.7337882909405</v>
      </c>
      <c r="X18" s="128">
        <f t="shared" si="12"/>
        <v>955.24459609698022</v>
      </c>
      <c r="Y18" s="128">
        <f t="shared" si="13"/>
        <v>2865.7337882909405</v>
      </c>
      <c r="Z18" s="208"/>
      <c r="AA18" s="84"/>
      <c r="AB18" s="84">
        <f t="shared" si="14"/>
        <v>60950.022137902903</v>
      </c>
      <c r="AC18" s="84">
        <f t="shared" si="15"/>
        <v>27062.538745216458</v>
      </c>
      <c r="AD18" s="84">
        <f t="shared" si="16"/>
        <v>42749.119224841408</v>
      </c>
    </row>
    <row r="19" spans="2:30" x14ac:dyDescent="0.25">
      <c r="B19" s="80">
        <f t="shared" si="3"/>
        <v>10</v>
      </c>
      <c r="C19" s="91">
        <f t="shared" si="4"/>
        <v>2034</v>
      </c>
      <c r="D19" s="121"/>
      <c r="E19" s="92"/>
      <c r="F19" s="93"/>
      <c r="G19" s="100"/>
      <c r="H19" s="93"/>
      <c r="I19" s="199" t="s">
        <v>234</v>
      </c>
      <c r="J19" s="128"/>
      <c r="K19" s="128"/>
      <c r="L19" s="227">
        <f t="shared" si="17"/>
        <v>-9544.978020632725</v>
      </c>
      <c r="M19" s="227">
        <f t="shared" si="7"/>
        <v>1910.4891921939604</v>
      </c>
      <c r="N19" s="128"/>
      <c r="O19" s="128"/>
      <c r="P19" s="227">
        <f t="shared" si="5"/>
        <v>51724.629491173415</v>
      </c>
      <c r="Q19" s="227">
        <f t="shared" si="8"/>
        <v>2531.2125337135453</v>
      </c>
      <c r="R19" s="128"/>
      <c r="S19" s="227">
        <f t="shared" si="8"/>
        <v>1910.4891921939604</v>
      </c>
      <c r="T19" s="128"/>
      <c r="U19" s="128">
        <f t="shared" si="9"/>
        <v>3820.9783843879209</v>
      </c>
      <c r="V19" s="128">
        <f t="shared" si="10"/>
        <v>1910.4891921939604</v>
      </c>
      <c r="W19" s="128">
        <f t="shared" si="11"/>
        <v>2865.7337882909405</v>
      </c>
      <c r="X19" s="128">
        <f t="shared" si="12"/>
        <v>955.24459609698022</v>
      </c>
      <c r="Y19" s="128">
        <f t="shared" si="13"/>
        <v>2865.7337882909405</v>
      </c>
      <c r="Z19" s="208"/>
      <c r="AA19" s="84"/>
      <c r="AB19" s="84">
        <f t="shared" si="14"/>
        <v>60950.022137902903</v>
      </c>
      <c r="AC19" s="86">
        <f t="shared" si="15"/>
        <v>25292.092285249022</v>
      </c>
      <c r="AD19" s="86">
        <f t="shared" si="16"/>
        <v>41503.99924741884</v>
      </c>
    </row>
    <row r="20" spans="2:30" x14ac:dyDescent="0.25">
      <c r="B20" s="80">
        <f t="shared" si="3"/>
        <v>11</v>
      </c>
      <c r="C20" s="91">
        <f t="shared" si="4"/>
        <v>2035</v>
      </c>
      <c r="D20" s="121"/>
      <c r="E20" s="92"/>
      <c r="F20" s="93"/>
      <c r="G20" s="100"/>
      <c r="H20" s="93"/>
      <c r="I20" s="199" t="s">
        <v>230</v>
      </c>
      <c r="J20" s="128"/>
      <c r="K20" s="128"/>
      <c r="L20" s="227">
        <f t="shared" si="17"/>
        <v>-9544.978020632725</v>
      </c>
      <c r="M20" s="227">
        <f t="shared" si="7"/>
        <v>1910.4891921939604</v>
      </c>
      <c r="N20" s="128"/>
      <c r="O20" s="128"/>
      <c r="P20" s="227">
        <f t="shared" si="5"/>
        <v>51724.629491173415</v>
      </c>
      <c r="Q20" s="227">
        <f t="shared" si="8"/>
        <v>2531.2125337135453</v>
      </c>
      <c r="R20" s="128"/>
      <c r="S20" s="227">
        <f t="shared" si="8"/>
        <v>1910.4891921939604</v>
      </c>
      <c r="T20" s="128"/>
      <c r="U20" s="128">
        <f t="shared" si="9"/>
        <v>3820.9783843879209</v>
      </c>
      <c r="V20" s="128">
        <f t="shared" si="10"/>
        <v>1910.4891921939604</v>
      </c>
      <c r="W20" s="128">
        <f t="shared" si="11"/>
        <v>2865.7337882909405</v>
      </c>
      <c r="X20" s="128">
        <f t="shared" si="12"/>
        <v>955.24459609698022</v>
      </c>
      <c r="Y20" s="128">
        <f t="shared" si="13"/>
        <v>2865.7337882909405</v>
      </c>
      <c r="Z20" s="208"/>
      <c r="AA20" s="84"/>
      <c r="AB20" s="84">
        <f t="shared" si="14"/>
        <v>60950.022137902903</v>
      </c>
      <c r="AC20" s="84">
        <f t="shared" si="15"/>
        <v>23637.469425466377</v>
      </c>
      <c r="AD20" s="84">
        <f t="shared" si="16"/>
        <v>40295.144900406638</v>
      </c>
    </row>
    <row r="21" spans="2:30" x14ac:dyDescent="0.25">
      <c r="B21" s="80">
        <f t="shared" si="3"/>
        <v>12</v>
      </c>
      <c r="C21" s="91">
        <f t="shared" si="4"/>
        <v>2036</v>
      </c>
      <c r="D21" s="121"/>
      <c r="E21" s="92"/>
      <c r="F21" s="93"/>
      <c r="G21" s="100"/>
      <c r="H21" s="93"/>
      <c r="I21" s="199" t="s">
        <v>236</v>
      </c>
      <c r="J21" s="128"/>
      <c r="K21" s="128"/>
      <c r="L21" s="227">
        <f t="shared" si="17"/>
        <v>-9544.978020632725</v>
      </c>
      <c r="M21" s="227">
        <f t="shared" si="7"/>
        <v>1910.4891921939604</v>
      </c>
      <c r="N21" s="128"/>
      <c r="O21" s="128"/>
      <c r="P21" s="227">
        <f t="shared" si="5"/>
        <v>51724.629491173415</v>
      </c>
      <c r="Q21" s="227">
        <f t="shared" si="8"/>
        <v>2531.2125337135453</v>
      </c>
      <c r="R21" s="128"/>
      <c r="S21" s="227">
        <f t="shared" si="8"/>
        <v>1910.4891921939604</v>
      </c>
      <c r="T21" s="128"/>
      <c r="U21" s="128">
        <f t="shared" si="9"/>
        <v>3820.9783843879209</v>
      </c>
      <c r="V21" s="128">
        <f t="shared" si="10"/>
        <v>1910.4891921939604</v>
      </c>
      <c r="W21" s="128">
        <f t="shared" si="11"/>
        <v>2865.7337882909405</v>
      </c>
      <c r="X21" s="128">
        <f t="shared" si="12"/>
        <v>955.24459609698022</v>
      </c>
      <c r="Y21" s="128">
        <f t="shared" si="13"/>
        <v>2865.7337882909405</v>
      </c>
      <c r="Z21" s="208"/>
      <c r="AA21" s="84"/>
      <c r="AB21" s="84">
        <f t="shared" si="14"/>
        <v>60950.022137902903</v>
      </c>
      <c r="AC21" s="84">
        <f t="shared" si="15"/>
        <v>22091.092920996613</v>
      </c>
      <c r="AD21" s="84">
        <f t="shared" si="16"/>
        <v>39121.499903307405</v>
      </c>
    </row>
    <row r="22" spans="2:30" x14ac:dyDescent="0.25">
      <c r="B22" s="80">
        <f t="shared" si="3"/>
        <v>13</v>
      </c>
      <c r="C22" s="91">
        <f t="shared" si="4"/>
        <v>2037</v>
      </c>
      <c r="D22" s="121"/>
      <c r="E22" s="92"/>
      <c r="F22" s="93"/>
      <c r="G22" s="100"/>
      <c r="H22" s="93"/>
      <c r="I22" s="199" t="s">
        <v>235</v>
      </c>
      <c r="J22" s="128"/>
      <c r="K22" s="128"/>
      <c r="L22" s="227">
        <f t="shared" si="17"/>
        <v>-9544.978020632725</v>
      </c>
      <c r="M22" s="227">
        <f t="shared" si="7"/>
        <v>1910.4891921939604</v>
      </c>
      <c r="N22" s="128"/>
      <c r="O22" s="128"/>
      <c r="P22" s="227">
        <f t="shared" si="5"/>
        <v>51724.629491173415</v>
      </c>
      <c r="Q22" s="227">
        <f t="shared" si="8"/>
        <v>2531.2125337135453</v>
      </c>
      <c r="R22" s="128"/>
      <c r="S22" s="227">
        <f t="shared" si="8"/>
        <v>1910.4891921939604</v>
      </c>
      <c r="T22" s="128"/>
      <c r="U22" s="128">
        <f t="shared" si="9"/>
        <v>3820.9783843879209</v>
      </c>
      <c r="V22" s="128">
        <f t="shared" si="10"/>
        <v>1910.4891921939604</v>
      </c>
      <c r="W22" s="128">
        <f t="shared" si="11"/>
        <v>2865.7337882909405</v>
      </c>
      <c r="X22" s="128">
        <f t="shared" si="12"/>
        <v>955.24459609698022</v>
      </c>
      <c r="Y22" s="128">
        <f t="shared" si="13"/>
        <v>2865.7337882909405</v>
      </c>
      <c r="Z22" s="208"/>
      <c r="AA22" s="84"/>
      <c r="AB22" s="84">
        <f t="shared" si="14"/>
        <v>60950.022137902903</v>
      </c>
      <c r="AC22" s="84">
        <f t="shared" si="15"/>
        <v>20645.881234576274</v>
      </c>
      <c r="AD22" s="84">
        <f t="shared" si="16"/>
        <v>37982.038741075165</v>
      </c>
    </row>
    <row r="23" spans="2:30" x14ac:dyDescent="0.25">
      <c r="B23" s="80">
        <f t="shared" si="3"/>
        <v>14</v>
      </c>
      <c r="C23" s="91">
        <f t="shared" si="4"/>
        <v>2038</v>
      </c>
      <c r="D23" s="121"/>
      <c r="E23" s="92"/>
      <c r="F23" s="93"/>
      <c r="G23" s="100"/>
      <c r="H23" s="93"/>
      <c r="I23" s="199" t="s">
        <v>234</v>
      </c>
      <c r="J23" s="128"/>
      <c r="K23" s="128"/>
      <c r="L23" s="227">
        <f t="shared" si="17"/>
        <v>-9544.978020632725</v>
      </c>
      <c r="M23" s="227">
        <f t="shared" si="7"/>
        <v>1910.4891921939604</v>
      </c>
      <c r="N23" s="128"/>
      <c r="O23" s="128"/>
      <c r="P23" s="227">
        <f t="shared" si="5"/>
        <v>51724.629491173415</v>
      </c>
      <c r="Q23" s="227">
        <f t="shared" si="8"/>
        <v>2531.2125337135453</v>
      </c>
      <c r="R23" s="128"/>
      <c r="S23" s="227">
        <f t="shared" si="8"/>
        <v>1910.4891921939604</v>
      </c>
      <c r="T23" s="128"/>
      <c r="U23" s="128">
        <f t="shared" si="9"/>
        <v>3820.9783843879209</v>
      </c>
      <c r="V23" s="128">
        <f t="shared" si="10"/>
        <v>1910.4891921939604</v>
      </c>
      <c r="W23" s="128">
        <f t="shared" si="11"/>
        <v>2865.7337882909405</v>
      </c>
      <c r="X23" s="128">
        <f t="shared" si="12"/>
        <v>955.24459609698022</v>
      </c>
      <c r="Y23" s="128">
        <f t="shared" si="13"/>
        <v>2865.7337882909405</v>
      </c>
      <c r="Z23" s="208"/>
      <c r="AA23" s="84"/>
      <c r="AB23" s="84">
        <f t="shared" si="14"/>
        <v>60950.022137902903</v>
      </c>
      <c r="AC23" s="84">
        <f t="shared" si="15"/>
        <v>19295.216107080632</v>
      </c>
      <c r="AD23" s="84">
        <f t="shared" si="16"/>
        <v>36875.765768034136</v>
      </c>
    </row>
    <row r="24" spans="2:30" x14ac:dyDescent="0.25">
      <c r="B24" s="80">
        <f t="shared" si="3"/>
        <v>15</v>
      </c>
      <c r="C24" s="91">
        <f t="shared" si="4"/>
        <v>2039</v>
      </c>
      <c r="D24" s="121"/>
      <c r="E24" s="92"/>
      <c r="F24" s="93"/>
      <c r="G24" s="100"/>
      <c r="H24" s="93"/>
      <c r="I24" s="199" t="s">
        <v>233</v>
      </c>
      <c r="J24" s="128"/>
      <c r="K24" s="128"/>
      <c r="L24" s="227">
        <f>H53</f>
        <v>1493937.8833102316</v>
      </c>
      <c r="M24" s="227">
        <f t="shared" si="7"/>
        <v>1910.4891921939604</v>
      </c>
      <c r="N24" s="128"/>
      <c r="O24" s="128"/>
      <c r="P24" s="227">
        <f t="shared" si="5"/>
        <v>51724.629491173415</v>
      </c>
      <c r="Q24" s="227">
        <f t="shared" si="8"/>
        <v>2531.2125337135453</v>
      </c>
      <c r="R24" s="128"/>
      <c r="S24" s="227">
        <f t="shared" si="8"/>
        <v>1910.4891921939604</v>
      </c>
      <c r="T24" s="128"/>
      <c r="U24" s="128">
        <f t="shared" si="9"/>
        <v>3820.9783843879209</v>
      </c>
      <c r="V24" s="128">
        <f t="shared" si="10"/>
        <v>1910.4891921939604</v>
      </c>
      <c r="W24" s="128">
        <f t="shared" si="11"/>
        <v>2865.7337882909405</v>
      </c>
      <c r="X24" s="128">
        <f t="shared" si="12"/>
        <v>955.24459609698022</v>
      </c>
      <c r="Y24" s="128">
        <f t="shared" si="13"/>
        <v>2865.7337882909405</v>
      </c>
      <c r="Z24" s="208"/>
      <c r="AA24" s="84"/>
      <c r="AB24" s="84">
        <f t="shared" si="14"/>
        <v>1564432.8834687676</v>
      </c>
      <c r="AC24" s="84">
        <f t="shared" si="15"/>
        <v>462859.23972536012</v>
      </c>
      <c r="AD24" s="84">
        <f t="shared" si="16"/>
        <v>918939.43972714653</v>
      </c>
    </row>
    <row r="25" spans="2:30" x14ac:dyDescent="0.25">
      <c r="B25" s="80">
        <f t="shared" si="3"/>
        <v>16</v>
      </c>
      <c r="C25" s="91">
        <f t="shared" si="4"/>
        <v>2040</v>
      </c>
      <c r="D25" s="121"/>
      <c r="E25" s="92"/>
      <c r="F25" s="93"/>
      <c r="G25" s="100"/>
      <c r="H25" s="93"/>
      <c r="I25" s="199" t="s">
        <v>232</v>
      </c>
      <c r="J25" s="128"/>
      <c r="K25" s="128"/>
      <c r="L25" s="227">
        <f>L23</f>
        <v>-9544.978020632725</v>
      </c>
      <c r="M25" s="227">
        <f t="shared" si="7"/>
        <v>1910.4891921939604</v>
      </c>
      <c r="N25" s="128"/>
      <c r="O25" s="128"/>
      <c r="P25" s="227">
        <f t="shared" si="5"/>
        <v>51724.629491173415</v>
      </c>
      <c r="Q25" s="227">
        <f t="shared" si="8"/>
        <v>2531.2125337135453</v>
      </c>
      <c r="R25" s="128"/>
      <c r="S25" s="227">
        <f t="shared" si="8"/>
        <v>1910.4891921939604</v>
      </c>
      <c r="T25" s="128"/>
      <c r="U25" s="128">
        <f t="shared" si="9"/>
        <v>3820.9783843879209</v>
      </c>
      <c r="V25" s="128">
        <f t="shared" si="10"/>
        <v>1910.4891921939604</v>
      </c>
      <c r="W25" s="128">
        <f t="shared" si="11"/>
        <v>2865.7337882909405</v>
      </c>
      <c r="X25" s="128">
        <f t="shared" si="12"/>
        <v>955.24459609698022</v>
      </c>
      <c r="Y25" s="128">
        <f t="shared" si="13"/>
        <v>2865.7337882909405</v>
      </c>
      <c r="Z25" s="208"/>
      <c r="AA25" s="84"/>
      <c r="AB25" s="84">
        <f t="shared" si="14"/>
        <v>60950.022137902903</v>
      </c>
      <c r="AC25" s="84">
        <f t="shared" si="15"/>
        <v>16853.189018325294</v>
      </c>
      <c r="AD25" s="84">
        <f t="shared" si="16"/>
        <v>34758.945959123514</v>
      </c>
    </row>
    <row r="26" spans="2:30" x14ac:dyDescent="0.25">
      <c r="B26" s="80">
        <f t="shared" si="3"/>
        <v>17</v>
      </c>
      <c r="C26" s="91">
        <f t="shared" si="4"/>
        <v>2041</v>
      </c>
      <c r="D26" s="121"/>
      <c r="E26" s="92"/>
      <c r="F26" s="93"/>
      <c r="G26" s="100"/>
      <c r="H26" s="93"/>
      <c r="I26" s="199" t="s">
        <v>231</v>
      </c>
      <c r="J26" s="128"/>
      <c r="K26" s="128"/>
      <c r="L26" s="227">
        <f t="shared" si="17"/>
        <v>-9544.978020632725</v>
      </c>
      <c r="M26" s="227">
        <f t="shared" si="7"/>
        <v>1910.4891921939604</v>
      </c>
      <c r="N26" s="128"/>
      <c r="O26" s="128"/>
      <c r="P26" s="227">
        <f t="shared" si="5"/>
        <v>51724.629491173415</v>
      </c>
      <c r="Q26" s="227">
        <f t="shared" si="8"/>
        <v>2531.2125337135453</v>
      </c>
      <c r="R26" s="128"/>
      <c r="S26" s="227">
        <f t="shared" si="8"/>
        <v>1910.4891921939604</v>
      </c>
      <c r="T26" s="128"/>
      <c r="U26" s="128">
        <f t="shared" si="9"/>
        <v>3820.9783843879209</v>
      </c>
      <c r="V26" s="128">
        <f t="shared" si="10"/>
        <v>1910.4891921939604</v>
      </c>
      <c r="W26" s="128">
        <f t="shared" si="11"/>
        <v>2865.7337882909405</v>
      </c>
      <c r="X26" s="128">
        <f t="shared" si="12"/>
        <v>955.24459609698022</v>
      </c>
      <c r="Y26" s="128">
        <f t="shared" si="13"/>
        <v>2865.7337882909405</v>
      </c>
      <c r="Z26" s="208"/>
      <c r="AA26" s="84"/>
      <c r="AB26" s="84">
        <f t="shared" si="14"/>
        <v>60950.022137902903</v>
      </c>
      <c r="AC26" s="84">
        <f t="shared" si="15"/>
        <v>15750.64394236009</v>
      </c>
      <c r="AD26" s="84">
        <f t="shared" si="16"/>
        <v>33746.549474877203</v>
      </c>
    </row>
    <row r="27" spans="2:30" x14ac:dyDescent="0.25">
      <c r="B27" s="80">
        <f t="shared" si="3"/>
        <v>18</v>
      </c>
      <c r="C27" s="91">
        <f t="shared" si="4"/>
        <v>2042</v>
      </c>
      <c r="D27" s="121"/>
      <c r="E27" s="92"/>
      <c r="F27" s="93"/>
      <c r="G27" s="100"/>
      <c r="H27" s="93"/>
      <c r="I27" s="199" t="s">
        <v>230</v>
      </c>
      <c r="J27" s="128"/>
      <c r="K27" s="128"/>
      <c r="L27" s="227">
        <f t="shared" si="17"/>
        <v>-9544.978020632725</v>
      </c>
      <c r="M27" s="227">
        <f t="shared" si="7"/>
        <v>1910.4891921939604</v>
      </c>
      <c r="N27" s="128"/>
      <c r="O27" s="128"/>
      <c r="P27" s="227">
        <f t="shared" si="5"/>
        <v>51724.629491173415</v>
      </c>
      <c r="Q27" s="227">
        <f t="shared" si="8"/>
        <v>2531.2125337135453</v>
      </c>
      <c r="R27" s="128"/>
      <c r="S27" s="227">
        <f t="shared" si="8"/>
        <v>1910.4891921939604</v>
      </c>
      <c r="T27" s="128"/>
      <c r="U27" s="128">
        <f t="shared" si="9"/>
        <v>3820.9783843879209</v>
      </c>
      <c r="V27" s="128">
        <f t="shared" si="10"/>
        <v>1910.4891921939604</v>
      </c>
      <c r="W27" s="128">
        <f t="shared" si="11"/>
        <v>2865.7337882909405</v>
      </c>
      <c r="X27" s="128">
        <f t="shared" si="12"/>
        <v>955.24459609698022</v>
      </c>
      <c r="Y27" s="128">
        <f t="shared" si="13"/>
        <v>2865.7337882909405</v>
      </c>
      <c r="Z27" s="208"/>
      <c r="AA27" s="84"/>
      <c r="AB27" s="84">
        <f t="shared" si="14"/>
        <v>60950.022137902903</v>
      </c>
      <c r="AC27" s="84">
        <f t="shared" si="15"/>
        <v>14720.227983514102</v>
      </c>
      <c r="AD27" s="84">
        <f t="shared" si="16"/>
        <v>32763.640266871073</v>
      </c>
    </row>
    <row r="28" spans="2:30" ht="21" customHeight="1" x14ac:dyDescent="0.25">
      <c r="B28" s="80">
        <f t="shared" si="3"/>
        <v>19</v>
      </c>
      <c r="C28" s="91">
        <f t="shared" si="4"/>
        <v>2043</v>
      </c>
      <c r="D28" s="121"/>
      <c r="E28" s="92"/>
      <c r="F28" s="93"/>
      <c r="G28" s="100"/>
      <c r="H28" s="93"/>
      <c r="I28" s="199"/>
      <c r="J28" s="128"/>
      <c r="K28" s="128"/>
      <c r="L28" s="227">
        <f t="shared" si="17"/>
        <v>-9544.978020632725</v>
      </c>
      <c r="M28" s="227">
        <f t="shared" si="7"/>
        <v>1910.4891921939604</v>
      </c>
      <c r="N28" s="128"/>
      <c r="O28" s="128"/>
      <c r="P28" s="227">
        <f t="shared" si="5"/>
        <v>51724.629491173415</v>
      </c>
      <c r="Q28" s="227">
        <f t="shared" si="8"/>
        <v>2531.2125337135453</v>
      </c>
      <c r="R28" s="128"/>
      <c r="S28" s="227">
        <f t="shared" si="8"/>
        <v>1910.4891921939604</v>
      </c>
      <c r="T28" s="128"/>
      <c r="U28" s="128">
        <f t="shared" si="9"/>
        <v>3820.9783843879209</v>
      </c>
      <c r="V28" s="128">
        <f t="shared" si="10"/>
        <v>1910.4891921939604</v>
      </c>
      <c r="W28" s="128">
        <f t="shared" si="11"/>
        <v>2865.7337882909405</v>
      </c>
      <c r="X28" s="128">
        <f t="shared" si="12"/>
        <v>955.24459609698022</v>
      </c>
      <c r="Y28" s="128">
        <f t="shared" si="13"/>
        <v>2865.7337882909405</v>
      </c>
      <c r="Z28" s="208"/>
      <c r="AA28" s="84"/>
      <c r="AB28" s="84">
        <f t="shared" si="14"/>
        <v>60950.022137902903</v>
      </c>
      <c r="AC28" s="84">
        <f t="shared" si="15"/>
        <v>13757.222414499161</v>
      </c>
      <c r="AD28" s="84">
        <f t="shared" si="16"/>
        <v>31809.359482399101</v>
      </c>
    </row>
    <row r="29" spans="2:30" x14ac:dyDescent="0.25">
      <c r="B29" s="80">
        <f t="shared" si="3"/>
        <v>20</v>
      </c>
      <c r="C29" s="91">
        <f t="shared" si="4"/>
        <v>2044</v>
      </c>
      <c r="D29" s="121"/>
      <c r="E29" s="92"/>
      <c r="F29" s="93"/>
      <c r="G29" s="100"/>
      <c r="H29" s="93"/>
      <c r="I29" s="199"/>
      <c r="J29" s="128"/>
      <c r="K29" s="128"/>
      <c r="L29" s="227">
        <f t="shared" si="17"/>
        <v>-9544.978020632725</v>
      </c>
      <c r="M29" s="227">
        <f t="shared" si="7"/>
        <v>1910.4891921939604</v>
      </c>
      <c r="N29" s="128"/>
      <c r="O29" s="128"/>
      <c r="P29" s="227">
        <f t="shared" si="5"/>
        <v>51724.629491173415</v>
      </c>
      <c r="Q29" s="227">
        <f t="shared" si="8"/>
        <v>2531.2125337135453</v>
      </c>
      <c r="R29" s="128"/>
      <c r="S29" s="227">
        <f t="shared" si="8"/>
        <v>1910.4891921939604</v>
      </c>
      <c r="T29" s="128"/>
      <c r="U29" s="128">
        <f t="shared" si="9"/>
        <v>3820.9783843879209</v>
      </c>
      <c r="V29" s="128">
        <f t="shared" si="10"/>
        <v>1910.4891921939604</v>
      </c>
      <c r="W29" s="128">
        <f t="shared" si="11"/>
        <v>2865.7337882909405</v>
      </c>
      <c r="X29" s="128">
        <f t="shared" si="12"/>
        <v>955.24459609698022</v>
      </c>
      <c r="Y29" s="128">
        <f t="shared" si="13"/>
        <v>2865.7337882909405</v>
      </c>
      <c r="Z29" s="208"/>
      <c r="AA29" s="84"/>
      <c r="AB29" s="84">
        <f t="shared" si="14"/>
        <v>60950.022137902903</v>
      </c>
      <c r="AC29" s="84">
        <f t="shared" si="15"/>
        <v>12857.217209812299</v>
      </c>
      <c r="AD29" s="84">
        <f t="shared" si="16"/>
        <v>30882.873283882618</v>
      </c>
    </row>
    <row r="30" spans="2:30" x14ac:dyDescent="0.25">
      <c r="B30" s="80">
        <f t="shared" si="3"/>
        <v>21</v>
      </c>
      <c r="C30" s="91">
        <f t="shared" si="4"/>
        <v>2045</v>
      </c>
      <c r="D30" s="121"/>
      <c r="E30" s="92"/>
      <c r="F30" s="93"/>
      <c r="G30" s="100"/>
      <c r="H30" s="93"/>
      <c r="I30" s="199"/>
      <c r="J30" s="128"/>
      <c r="K30" s="128"/>
      <c r="L30" s="227">
        <f t="shared" si="17"/>
        <v>-9544.978020632725</v>
      </c>
      <c r="M30" s="227">
        <f t="shared" si="7"/>
        <v>1910.4891921939604</v>
      </c>
      <c r="N30" s="128"/>
      <c r="O30" s="128"/>
      <c r="P30" s="227">
        <f t="shared" si="5"/>
        <v>51724.629491173415</v>
      </c>
      <c r="Q30" s="227">
        <f t="shared" si="8"/>
        <v>2531.2125337135453</v>
      </c>
      <c r="R30" s="128"/>
      <c r="S30" s="227">
        <f t="shared" si="8"/>
        <v>1910.4891921939604</v>
      </c>
      <c r="T30" s="128"/>
      <c r="U30" s="128">
        <f t="shared" si="9"/>
        <v>3820.9783843879209</v>
      </c>
      <c r="V30" s="128">
        <f t="shared" si="10"/>
        <v>1910.4891921939604</v>
      </c>
      <c r="W30" s="128">
        <f t="shared" si="11"/>
        <v>2865.7337882909405</v>
      </c>
      <c r="X30" s="128">
        <f t="shared" si="12"/>
        <v>955.24459609698022</v>
      </c>
      <c r="Y30" s="128">
        <f t="shared" si="13"/>
        <v>2865.7337882909405</v>
      </c>
      <c r="Z30" s="208"/>
      <c r="AA30" s="84"/>
      <c r="AB30" s="84">
        <f t="shared" si="14"/>
        <v>60950.022137902903</v>
      </c>
      <c r="AC30" s="84">
        <f t="shared" si="15"/>
        <v>12016.090850291868</v>
      </c>
      <c r="AD30" s="84">
        <f t="shared" si="16"/>
        <v>29983.372120274391</v>
      </c>
    </row>
    <row r="31" spans="2:30" x14ac:dyDescent="0.25">
      <c r="B31" s="80">
        <f t="shared" si="3"/>
        <v>22</v>
      </c>
      <c r="C31" s="91">
        <f t="shared" si="4"/>
        <v>2046</v>
      </c>
      <c r="D31" s="121"/>
      <c r="E31" s="92"/>
      <c r="F31" s="93"/>
      <c r="G31" s="100"/>
      <c r="H31" s="93"/>
      <c r="I31" s="199"/>
      <c r="J31" s="128"/>
      <c r="K31" s="128"/>
      <c r="L31" s="227">
        <f t="shared" si="17"/>
        <v>-9544.978020632725</v>
      </c>
      <c r="M31" s="227">
        <f t="shared" si="7"/>
        <v>1910.4891921939604</v>
      </c>
      <c r="N31" s="128"/>
      <c r="O31" s="128"/>
      <c r="P31" s="227">
        <f t="shared" si="5"/>
        <v>51724.629491173415</v>
      </c>
      <c r="Q31" s="227">
        <f t="shared" si="8"/>
        <v>2531.2125337135453</v>
      </c>
      <c r="R31" s="128"/>
      <c r="S31" s="227">
        <f t="shared" si="8"/>
        <v>1910.4891921939604</v>
      </c>
      <c r="T31" s="128"/>
      <c r="U31" s="128">
        <f t="shared" si="9"/>
        <v>3820.9783843879209</v>
      </c>
      <c r="V31" s="128">
        <f t="shared" si="10"/>
        <v>1910.4891921939604</v>
      </c>
      <c r="W31" s="128">
        <f t="shared" si="11"/>
        <v>2865.7337882909405</v>
      </c>
      <c r="X31" s="128">
        <f t="shared" si="12"/>
        <v>955.24459609698022</v>
      </c>
      <c r="Y31" s="128">
        <f t="shared" si="13"/>
        <v>2865.7337882909405</v>
      </c>
      <c r="Z31" s="208"/>
      <c r="AA31" s="84"/>
      <c r="AB31" s="84">
        <f t="shared" si="14"/>
        <v>60950.022137902903</v>
      </c>
      <c r="AC31" s="84">
        <f t="shared" si="15"/>
        <v>11229.991448870904</v>
      </c>
      <c r="AD31" s="84">
        <f t="shared" si="16"/>
        <v>29110.070019683873</v>
      </c>
    </row>
    <row r="32" spans="2:30" x14ac:dyDescent="0.25">
      <c r="B32" s="80">
        <f t="shared" si="3"/>
        <v>23</v>
      </c>
      <c r="C32" s="91">
        <f t="shared" si="4"/>
        <v>2047</v>
      </c>
      <c r="D32" s="121"/>
      <c r="E32" s="92"/>
      <c r="F32" s="93"/>
      <c r="G32" s="100"/>
      <c r="H32" s="93"/>
      <c r="I32" s="199"/>
      <c r="J32" s="128"/>
      <c r="K32" s="128"/>
      <c r="L32" s="227">
        <f t="shared" si="17"/>
        <v>-9544.978020632725</v>
      </c>
      <c r="M32" s="227">
        <f t="shared" si="7"/>
        <v>1910.4891921939604</v>
      </c>
      <c r="N32" s="128"/>
      <c r="O32" s="128"/>
      <c r="P32" s="227">
        <f t="shared" si="5"/>
        <v>51724.629491173415</v>
      </c>
      <c r="Q32" s="227">
        <f t="shared" si="8"/>
        <v>2531.2125337135453</v>
      </c>
      <c r="R32" s="128"/>
      <c r="S32" s="227">
        <f t="shared" si="8"/>
        <v>1910.4891921939604</v>
      </c>
      <c r="T32" s="128"/>
      <c r="U32" s="128">
        <f t="shared" si="9"/>
        <v>3820.9783843879209</v>
      </c>
      <c r="V32" s="128">
        <f t="shared" si="10"/>
        <v>1910.4891921939604</v>
      </c>
      <c r="W32" s="128">
        <f t="shared" si="11"/>
        <v>2865.7337882909405</v>
      </c>
      <c r="X32" s="128">
        <f t="shared" si="12"/>
        <v>955.24459609698022</v>
      </c>
      <c r="Y32" s="128">
        <f t="shared" si="13"/>
        <v>2865.7337882909405</v>
      </c>
      <c r="Z32" s="208"/>
      <c r="AA32" s="84"/>
      <c r="AB32" s="84">
        <f t="shared" si="14"/>
        <v>60950.022137902903</v>
      </c>
      <c r="AC32" s="84">
        <f t="shared" si="15"/>
        <v>10495.319111094304</v>
      </c>
      <c r="AD32" s="84">
        <f t="shared" si="16"/>
        <v>28262.203902605699</v>
      </c>
    </row>
    <row r="33" spans="2:30" x14ac:dyDescent="0.25">
      <c r="B33" s="80">
        <f t="shared" si="3"/>
        <v>24</v>
      </c>
      <c r="C33" s="91">
        <f t="shared" si="4"/>
        <v>2048</v>
      </c>
      <c r="D33" s="121"/>
      <c r="E33" s="92"/>
      <c r="F33" s="93"/>
      <c r="G33" s="100"/>
      <c r="H33" s="93"/>
      <c r="I33" s="199"/>
      <c r="J33" s="128"/>
      <c r="K33" s="128"/>
      <c r="L33" s="227">
        <f t="shared" si="17"/>
        <v>-9544.978020632725</v>
      </c>
      <c r="M33" s="227">
        <f t="shared" si="7"/>
        <v>1910.4891921939604</v>
      </c>
      <c r="N33" s="128"/>
      <c r="O33" s="128"/>
      <c r="P33" s="227">
        <f t="shared" si="5"/>
        <v>51724.629491173415</v>
      </c>
      <c r="Q33" s="227">
        <f t="shared" si="8"/>
        <v>2531.2125337135453</v>
      </c>
      <c r="R33" s="128"/>
      <c r="S33" s="227">
        <f t="shared" si="8"/>
        <v>1910.4891921939604</v>
      </c>
      <c r="T33" s="128"/>
      <c r="U33" s="128">
        <f t="shared" si="9"/>
        <v>3820.9783843879209</v>
      </c>
      <c r="V33" s="128">
        <f t="shared" si="10"/>
        <v>1910.4891921939604</v>
      </c>
      <c r="W33" s="128">
        <f t="shared" si="11"/>
        <v>2865.7337882909405</v>
      </c>
      <c r="X33" s="128">
        <f t="shared" si="12"/>
        <v>955.24459609698022</v>
      </c>
      <c r="Y33" s="128">
        <f t="shared" si="13"/>
        <v>2865.7337882909405</v>
      </c>
      <c r="Z33" s="208"/>
      <c r="AA33" s="84"/>
      <c r="AB33" s="84">
        <f t="shared" si="14"/>
        <v>60950.022137902903</v>
      </c>
      <c r="AC33" s="84">
        <f t="shared" si="15"/>
        <v>9808.7094496208429</v>
      </c>
      <c r="AD33" s="84">
        <f t="shared" si="16"/>
        <v>27439.032915151169</v>
      </c>
    </row>
    <row r="34" spans="2:30" x14ac:dyDescent="0.25">
      <c r="B34" s="80">
        <f t="shared" si="3"/>
        <v>25</v>
      </c>
      <c r="C34" s="91">
        <f t="shared" si="4"/>
        <v>2049</v>
      </c>
      <c r="D34" s="121"/>
      <c r="E34" s="92"/>
      <c r="F34" s="93"/>
      <c r="G34" s="100"/>
      <c r="H34" s="93"/>
      <c r="I34" s="199"/>
      <c r="J34" s="128"/>
      <c r="K34" s="128"/>
      <c r="L34" s="227">
        <f t="shared" si="17"/>
        <v>-9544.978020632725</v>
      </c>
      <c r="M34" s="227">
        <f t="shared" si="7"/>
        <v>1910.4891921939604</v>
      </c>
      <c r="N34" s="128"/>
      <c r="O34" s="128"/>
      <c r="P34" s="227">
        <f t="shared" si="5"/>
        <v>51724.629491173415</v>
      </c>
      <c r="Q34" s="227">
        <f t="shared" si="8"/>
        <v>2531.2125337135453</v>
      </c>
      <c r="R34" s="128"/>
      <c r="S34" s="227">
        <f t="shared" si="8"/>
        <v>1910.4891921939604</v>
      </c>
      <c r="T34" s="128"/>
      <c r="U34" s="128">
        <f t="shared" si="9"/>
        <v>3820.9783843879209</v>
      </c>
      <c r="V34" s="128">
        <f t="shared" si="10"/>
        <v>1910.4891921939604</v>
      </c>
      <c r="W34" s="128">
        <f t="shared" si="11"/>
        <v>2865.7337882909405</v>
      </c>
      <c r="X34" s="128">
        <f t="shared" si="12"/>
        <v>955.24459609698022</v>
      </c>
      <c r="Y34" s="128">
        <f t="shared" si="13"/>
        <v>2865.7337882909405</v>
      </c>
      <c r="Z34" s="208"/>
      <c r="AA34" s="84"/>
      <c r="AB34" s="84">
        <f t="shared" si="14"/>
        <v>60950.022137902903</v>
      </c>
      <c r="AC34" s="84">
        <f t="shared" si="15"/>
        <v>9167.018177215743</v>
      </c>
      <c r="AD34" s="84">
        <f t="shared" si="16"/>
        <v>26639.837781700164</v>
      </c>
    </row>
    <row r="35" spans="2:30" x14ac:dyDescent="0.25">
      <c r="B35" s="80">
        <f t="shared" si="3"/>
        <v>26</v>
      </c>
      <c r="C35" s="91">
        <f t="shared" si="4"/>
        <v>2050</v>
      </c>
      <c r="D35" s="121"/>
      <c r="E35" s="92"/>
      <c r="F35" s="93"/>
      <c r="G35" s="100"/>
      <c r="H35" s="93"/>
      <c r="I35" s="199"/>
      <c r="J35" s="128"/>
      <c r="K35" s="128"/>
      <c r="L35" s="227">
        <f t="shared" si="17"/>
        <v>-9544.978020632725</v>
      </c>
      <c r="M35" s="227">
        <f t="shared" si="7"/>
        <v>1910.4891921939604</v>
      </c>
      <c r="N35" s="128"/>
      <c r="O35" s="128"/>
      <c r="P35" s="227">
        <f t="shared" si="5"/>
        <v>51724.629491173415</v>
      </c>
      <c r="Q35" s="227">
        <f t="shared" si="8"/>
        <v>2531.2125337135453</v>
      </c>
      <c r="R35" s="128"/>
      <c r="S35" s="227">
        <f t="shared" si="8"/>
        <v>1910.4891921939604</v>
      </c>
      <c r="T35" s="128"/>
      <c r="U35" s="128">
        <f t="shared" si="9"/>
        <v>3820.9783843879209</v>
      </c>
      <c r="V35" s="128">
        <f t="shared" si="10"/>
        <v>1910.4891921939604</v>
      </c>
      <c r="W35" s="128">
        <f t="shared" si="11"/>
        <v>2865.7337882909405</v>
      </c>
      <c r="X35" s="128">
        <f t="shared" si="12"/>
        <v>955.24459609698022</v>
      </c>
      <c r="Y35" s="128">
        <f t="shared" si="13"/>
        <v>2865.7337882909405</v>
      </c>
      <c r="Z35" s="208"/>
      <c r="AA35" s="84"/>
      <c r="AB35" s="84">
        <f t="shared" si="14"/>
        <v>60950.022137902903</v>
      </c>
      <c r="AC35" s="84">
        <f t="shared" si="15"/>
        <v>8567.3067076782645</v>
      </c>
      <c r="AD35" s="84">
        <f t="shared" si="16"/>
        <v>25863.920176407926</v>
      </c>
    </row>
    <row r="36" spans="2:30" x14ac:dyDescent="0.25">
      <c r="B36" s="80">
        <f t="shared" si="3"/>
        <v>27</v>
      </c>
      <c r="C36" s="91">
        <f t="shared" si="4"/>
        <v>2051</v>
      </c>
      <c r="D36" s="121"/>
      <c r="E36" s="92"/>
      <c r="F36" s="93"/>
      <c r="G36" s="100"/>
      <c r="H36" s="93"/>
      <c r="I36" s="199"/>
      <c r="J36" s="128"/>
      <c r="K36" s="128"/>
      <c r="L36" s="227">
        <f t="shared" si="17"/>
        <v>-9544.978020632725</v>
      </c>
      <c r="M36" s="227">
        <f t="shared" si="7"/>
        <v>1910.4891921939604</v>
      </c>
      <c r="N36" s="128"/>
      <c r="O36" s="128"/>
      <c r="P36" s="227">
        <f t="shared" si="5"/>
        <v>51724.629491173415</v>
      </c>
      <c r="Q36" s="227">
        <f t="shared" si="8"/>
        <v>2531.2125337135453</v>
      </c>
      <c r="R36" s="128"/>
      <c r="S36" s="227">
        <f t="shared" si="8"/>
        <v>1910.4891921939604</v>
      </c>
      <c r="T36" s="128"/>
      <c r="U36" s="128">
        <f t="shared" si="9"/>
        <v>3820.9783843879209</v>
      </c>
      <c r="V36" s="128">
        <f t="shared" si="10"/>
        <v>1910.4891921939604</v>
      </c>
      <c r="W36" s="128">
        <f t="shared" si="11"/>
        <v>2865.7337882909405</v>
      </c>
      <c r="X36" s="128">
        <f t="shared" si="12"/>
        <v>955.24459609698022</v>
      </c>
      <c r="Y36" s="128">
        <f t="shared" si="13"/>
        <v>2865.7337882909405</v>
      </c>
      <c r="Z36" s="208"/>
      <c r="AA36" s="84"/>
      <c r="AB36" s="84">
        <f t="shared" si="14"/>
        <v>60950.022137902903</v>
      </c>
      <c r="AC36" s="84">
        <f t="shared" si="15"/>
        <v>8006.8286987647334</v>
      </c>
      <c r="AD36" s="84">
        <f t="shared" si="16"/>
        <v>25110.602113017405</v>
      </c>
    </row>
    <row r="37" spans="2:30" x14ac:dyDescent="0.25">
      <c r="B37" s="80">
        <f t="shared" si="3"/>
        <v>28</v>
      </c>
      <c r="C37" s="91">
        <f t="shared" si="4"/>
        <v>2052</v>
      </c>
      <c r="D37" s="121"/>
      <c r="E37" s="92"/>
      <c r="F37" s="93"/>
      <c r="G37" s="100"/>
      <c r="H37" s="93"/>
      <c r="I37" s="199"/>
      <c r="J37" s="128"/>
      <c r="K37" s="128"/>
      <c r="L37" s="227">
        <f t="shared" si="17"/>
        <v>-9544.978020632725</v>
      </c>
      <c r="M37" s="227">
        <f t="shared" si="7"/>
        <v>1910.4891921939604</v>
      </c>
      <c r="N37" s="128"/>
      <c r="O37" s="128"/>
      <c r="P37" s="227">
        <f t="shared" si="5"/>
        <v>51724.629491173415</v>
      </c>
      <c r="Q37" s="227">
        <f t="shared" si="8"/>
        <v>2531.2125337135453</v>
      </c>
      <c r="R37" s="128"/>
      <c r="S37" s="227">
        <f t="shared" si="8"/>
        <v>1910.4891921939604</v>
      </c>
      <c r="T37" s="128"/>
      <c r="U37" s="128">
        <f t="shared" si="9"/>
        <v>3820.9783843879209</v>
      </c>
      <c r="V37" s="128">
        <f t="shared" si="10"/>
        <v>1910.4891921939604</v>
      </c>
      <c r="W37" s="128">
        <f t="shared" si="11"/>
        <v>2865.7337882909405</v>
      </c>
      <c r="X37" s="128">
        <f t="shared" si="12"/>
        <v>955.24459609698022</v>
      </c>
      <c r="Y37" s="128">
        <f t="shared" si="13"/>
        <v>2865.7337882909405</v>
      </c>
      <c r="Z37" s="208"/>
      <c r="AA37" s="84"/>
      <c r="AB37" s="84">
        <f t="shared" si="14"/>
        <v>60950.022137902903</v>
      </c>
      <c r="AC37" s="84">
        <f t="shared" si="15"/>
        <v>7483.0174754810569</v>
      </c>
      <c r="AD37" s="84">
        <f t="shared" si="16"/>
        <v>24379.225352444078</v>
      </c>
    </row>
    <row r="38" spans="2:30" x14ac:dyDescent="0.25">
      <c r="B38" s="80">
        <f t="shared" si="3"/>
        <v>29</v>
      </c>
      <c r="C38" s="91">
        <f t="shared" si="4"/>
        <v>2053</v>
      </c>
      <c r="D38" s="121"/>
      <c r="E38" s="92"/>
      <c r="F38" s="93"/>
      <c r="G38" s="100"/>
      <c r="H38" s="93"/>
      <c r="I38" s="199"/>
      <c r="J38" s="128"/>
      <c r="K38" s="128"/>
      <c r="L38" s="227">
        <f t="shared" si="17"/>
        <v>-9544.978020632725</v>
      </c>
      <c r="M38" s="227">
        <f t="shared" si="7"/>
        <v>1910.4891921939604</v>
      </c>
      <c r="N38" s="128"/>
      <c r="O38" s="128"/>
      <c r="P38" s="227">
        <f t="shared" si="5"/>
        <v>51724.629491173415</v>
      </c>
      <c r="Q38" s="227">
        <f t="shared" si="8"/>
        <v>2531.2125337135453</v>
      </c>
      <c r="R38" s="128"/>
      <c r="S38" s="227">
        <f t="shared" si="8"/>
        <v>1910.4891921939604</v>
      </c>
      <c r="T38" s="128"/>
      <c r="U38" s="128">
        <f t="shared" si="9"/>
        <v>3820.9783843879209</v>
      </c>
      <c r="V38" s="128">
        <f t="shared" si="10"/>
        <v>1910.4891921939604</v>
      </c>
      <c r="W38" s="128">
        <f t="shared" si="11"/>
        <v>2865.7337882909405</v>
      </c>
      <c r="X38" s="128">
        <f t="shared" si="12"/>
        <v>955.24459609698022</v>
      </c>
      <c r="Y38" s="128">
        <f t="shared" si="13"/>
        <v>2865.7337882909405</v>
      </c>
      <c r="Z38" s="208"/>
      <c r="AA38" s="84"/>
      <c r="AB38" s="84">
        <f t="shared" si="14"/>
        <v>60950.022137902903</v>
      </c>
      <c r="AC38" s="84">
        <f t="shared" si="15"/>
        <v>6993.4742761505213</v>
      </c>
      <c r="AD38" s="84">
        <f t="shared" si="16"/>
        <v>23669.150827615613</v>
      </c>
    </row>
    <row r="39" spans="2:30" ht="16.5" thickBot="1" x14ac:dyDescent="0.3">
      <c r="B39" s="79">
        <f t="shared" si="3"/>
        <v>30</v>
      </c>
      <c r="C39" s="138">
        <f t="shared" si="4"/>
        <v>2054</v>
      </c>
      <c r="D39" s="122"/>
      <c r="E39" s="94"/>
      <c r="F39" s="95"/>
      <c r="G39" s="137"/>
      <c r="H39" s="95"/>
      <c r="I39" s="234"/>
      <c r="J39" s="111"/>
      <c r="K39" s="111"/>
      <c r="L39" s="228">
        <f t="shared" si="17"/>
        <v>-9544.978020632725</v>
      </c>
      <c r="M39" s="326">
        <f t="shared" si="7"/>
        <v>1910.4891921939604</v>
      </c>
      <c r="N39" s="111"/>
      <c r="O39" s="111"/>
      <c r="P39" s="227">
        <f t="shared" si="5"/>
        <v>51724.629491173415</v>
      </c>
      <c r="Q39" s="228">
        <f t="shared" si="8"/>
        <v>2531.2125337135453</v>
      </c>
      <c r="R39" s="111"/>
      <c r="S39" s="228">
        <f t="shared" si="8"/>
        <v>1910.4891921939604</v>
      </c>
      <c r="T39" s="111"/>
      <c r="U39" s="128">
        <f t="shared" si="9"/>
        <v>3820.9783843879209</v>
      </c>
      <c r="V39" s="128">
        <f t="shared" si="10"/>
        <v>1910.4891921939604</v>
      </c>
      <c r="W39" s="128">
        <f t="shared" si="11"/>
        <v>2865.7337882909405</v>
      </c>
      <c r="X39" s="128">
        <f t="shared" si="12"/>
        <v>955.24459609698022</v>
      </c>
      <c r="Y39" s="128">
        <f t="shared" si="13"/>
        <v>2865.7337882909405</v>
      </c>
      <c r="Z39" s="209"/>
      <c r="AA39" s="85"/>
      <c r="AB39" s="85">
        <f t="shared" si="14"/>
        <v>60950.022137902903</v>
      </c>
      <c r="AC39" s="85">
        <f t="shared" si="15"/>
        <v>6535.9572674303945</v>
      </c>
      <c r="AD39" s="85">
        <f t="shared" si="16"/>
        <v>22979.758085063702</v>
      </c>
    </row>
    <row r="40" spans="2:30" x14ac:dyDescent="0.25">
      <c r="B40" s="216"/>
      <c r="C40" s="217"/>
      <c r="D40" s="218"/>
      <c r="E40" s="218"/>
      <c r="F40" s="218"/>
      <c r="L40" s="29">
        <f>SUM(L10:L39)</f>
        <v>1197946.0981000375</v>
      </c>
      <c r="AB40" s="232">
        <f>SUM(AB10:AB39)</f>
        <v>3312796.1028561024</v>
      </c>
      <c r="AC40" s="233">
        <f>SUM(AC10:AC39)</f>
        <v>1049373.9969418228</v>
      </c>
      <c r="AD40" s="233">
        <f>SUM(AD10:AD39)</f>
        <v>1960326.0612819365</v>
      </c>
    </row>
    <row r="41" spans="2:30" x14ac:dyDescent="0.25">
      <c r="B41" s="216"/>
      <c r="C41" s="217"/>
      <c r="D41" s="218"/>
      <c r="E41" s="218"/>
      <c r="F41" s="218"/>
      <c r="AB41" s="232"/>
      <c r="AC41" s="233"/>
      <c r="AD41" s="233"/>
    </row>
    <row r="42" spans="2:30" x14ac:dyDescent="0.25">
      <c r="B42" s="216"/>
      <c r="C42" s="217"/>
      <c r="D42" s="218"/>
      <c r="E42" s="218"/>
      <c r="F42" s="218"/>
      <c r="AB42" s="232"/>
      <c r="AC42" s="233"/>
      <c r="AD42" s="233"/>
    </row>
    <row r="43" spans="2:30" x14ac:dyDescent="0.25">
      <c r="B43" s="216"/>
      <c r="C43" s="217" t="s">
        <v>60</v>
      </c>
      <c r="D43" s="218"/>
      <c r="E43" s="218"/>
      <c r="F43" s="218"/>
      <c r="L43" t="s">
        <v>253</v>
      </c>
      <c r="M43" s="194" t="s">
        <v>254</v>
      </c>
      <c r="N43" t="s">
        <v>255</v>
      </c>
      <c r="O43" t="s">
        <v>256</v>
      </c>
      <c r="P43" t="s">
        <v>257</v>
      </c>
      <c r="AB43" s="232"/>
      <c r="AC43" s="233"/>
      <c r="AD43" s="233"/>
    </row>
    <row r="44" spans="2:30" x14ac:dyDescent="0.25">
      <c r="C44" t="s">
        <v>247</v>
      </c>
      <c r="J44" t="s">
        <v>251</v>
      </c>
      <c r="K44" t="s">
        <v>252</v>
      </c>
      <c r="L44">
        <f>3.5*4</f>
        <v>14</v>
      </c>
      <c r="M44" s="246">
        <v>164000</v>
      </c>
      <c r="N44" s="246">
        <f>M44/L44</f>
        <v>11714.285714285714</v>
      </c>
      <c r="O44" s="246">
        <f>N44*0.5</f>
        <v>5857.1428571428569</v>
      </c>
      <c r="P44" s="246">
        <f>O44*'CPI Factor Calculations'!I52</f>
        <v>6141.0917979359037</v>
      </c>
    </row>
    <row r="45" spans="2:30" x14ac:dyDescent="0.25">
      <c r="C45" s="243" t="s">
        <v>261</v>
      </c>
      <c r="H45" t="s">
        <v>262</v>
      </c>
      <c r="J45">
        <f>969/2617</f>
        <v>0.37027130301872374</v>
      </c>
      <c r="N45" s="246"/>
      <c r="O45" s="246"/>
      <c r="P45" s="246"/>
    </row>
    <row r="46" spans="2:30" x14ac:dyDescent="0.25">
      <c r="M46" s="246"/>
      <c r="N46" s="246"/>
      <c r="O46" s="246"/>
      <c r="P46" s="246"/>
    </row>
    <row r="47" spans="2:30" x14ac:dyDescent="0.25">
      <c r="C47" t="s">
        <v>250</v>
      </c>
    </row>
    <row r="48" spans="2:30" x14ac:dyDescent="0.25">
      <c r="C48" t="s">
        <v>248</v>
      </c>
      <c r="AA48" t="s">
        <v>217</v>
      </c>
    </row>
    <row r="49" spans="2:27" x14ac:dyDescent="0.25">
      <c r="AA49" s="134">
        <f>370.13*'CPI Factor Calculations'!F27*'CPI Factor Calculations'!I50</f>
        <v>402.87567161756118</v>
      </c>
    </row>
    <row r="50" spans="2:27" x14ac:dyDescent="0.25">
      <c r="AA50" s="134">
        <f>112.22*'CPI Factor Calculations'!F27*'CPI Factor Calculations'!I50</f>
        <v>122.14818541842789</v>
      </c>
    </row>
    <row r="51" spans="2:27" x14ac:dyDescent="0.25">
      <c r="B51" s="1"/>
      <c r="E51" t="s">
        <v>249</v>
      </c>
      <c r="F51" t="s">
        <v>212</v>
      </c>
      <c r="G51" s="50">
        <v>2020</v>
      </c>
      <c r="H51" t="s">
        <v>263</v>
      </c>
      <c r="AA51" s="134"/>
    </row>
    <row r="52" spans="2:27" x14ac:dyDescent="0.25">
      <c r="C52" t="s">
        <v>203</v>
      </c>
      <c r="D52" t="s">
        <v>205</v>
      </c>
      <c r="E52" s="246">
        <f>P44</f>
        <v>6141.0917979359037</v>
      </c>
      <c r="F52">
        <f>Notes!F11</f>
        <v>2.1791666666666667</v>
      </c>
      <c r="G52" s="245">
        <f>F52*E52</f>
        <v>13382.46254300199</v>
      </c>
    </row>
    <row r="53" spans="2:27" x14ac:dyDescent="0.25">
      <c r="C53" t="s">
        <v>100</v>
      </c>
      <c r="D53" t="s">
        <v>206</v>
      </c>
      <c r="E53" s="245">
        <f>E52*0.3</f>
        <v>1842.327539380771</v>
      </c>
      <c r="F53">
        <f>Notes!F12</f>
        <v>2.0829545454545455</v>
      </c>
      <c r="G53" s="245">
        <f>F53*E53</f>
        <v>3837.4845223692651</v>
      </c>
      <c r="H53" s="246">
        <f>'Cap Costs NPV '!L9*'O&amp;M Costs NPV '!J45</f>
        <v>1493937.8833102316</v>
      </c>
    </row>
    <row r="54" spans="2:27" x14ac:dyDescent="0.25">
      <c r="C54" t="s">
        <v>218</v>
      </c>
      <c r="G54" s="245">
        <f>G53-G52</f>
        <v>-9544.978020632725</v>
      </c>
    </row>
    <row r="56" spans="2:27" x14ac:dyDescent="0.25">
      <c r="C56" t="s">
        <v>265</v>
      </c>
    </row>
    <row r="75" spans="27:27" x14ac:dyDescent="0.25">
      <c r="AA75" t="s">
        <v>219</v>
      </c>
    </row>
    <row r="76" spans="27:27" x14ac:dyDescent="0.25">
      <c r="AA76">
        <v>112.22</v>
      </c>
    </row>
  </sheetData>
  <mergeCells count="19">
    <mergeCell ref="E1:AA1"/>
    <mergeCell ref="D2:F2"/>
    <mergeCell ref="G2:Z2"/>
    <mergeCell ref="H3:H4"/>
    <mergeCell ref="J3:J4"/>
    <mergeCell ref="K3:K4"/>
    <mergeCell ref="L3:L4"/>
    <mergeCell ref="D3:D4"/>
    <mergeCell ref="E3:E4"/>
    <mergeCell ref="F3:F4"/>
    <mergeCell ref="G3:G4"/>
    <mergeCell ref="AA2:AA4"/>
    <mergeCell ref="U3:Y3"/>
    <mergeCell ref="Z3:Z4"/>
    <mergeCell ref="M3:M4"/>
    <mergeCell ref="N3:N4"/>
    <mergeCell ref="O3:O4"/>
    <mergeCell ref="P3:P4"/>
    <mergeCell ref="Q3:T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0" tint="-0.34998626667073579"/>
    <pageSetUpPr fitToPage="1"/>
  </sheetPr>
  <dimension ref="A1:P52"/>
  <sheetViews>
    <sheetView workbookViewId="0">
      <selection sqref="A1:F1"/>
    </sheetView>
    <sheetView workbookViewId="1">
      <selection sqref="A1:F1"/>
    </sheetView>
  </sheetViews>
  <sheetFormatPr defaultRowHeight="12.75" x14ac:dyDescent="0.2"/>
  <cols>
    <col min="1" max="1" width="17.5" style="35" customWidth="1"/>
    <col min="2" max="2" width="9.875" style="35" customWidth="1"/>
    <col min="3" max="255" width="7" style="35" customWidth="1"/>
    <col min="256" max="16384" width="9" style="35"/>
  </cols>
  <sheetData>
    <row r="1" spans="1:16" ht="15.75" x14ac:dyDescent="0.25">
      <c r="A1" s="849" t="s">
        <v>58</v>
      </c>
      <c r="B1" s="847"/>
      <c r="C1" s="847"/>
      <c r="D1" s="847"/>
      <c r="E1" s="847"/>
      <c r="F1" s="847"/>
    </row>
    <row r="2" spans="1:16" ht="15.75" x14ac:dyDescent="0.25">
      <c r="A2" s="849" t="s">
        <v>59</v>
      </c>
      <c r="B2" s="847"/>
      <c r="C2" s="847"/>
      <c r="D2" s="847"/>
      <c r="E2" s="847"/>
      <c r="F2" s="847"/>
    </row>
    <row r="3" spans="1:16" x14ac:dyDescent="0.2">
      <c r="A3" s="847"/>
      <c r="B3" s="847"/>
      <c r="C3" s="847"/>
      <c r="D3" s="847"/>
      <c r="E3" s="847"/>
      <c r="F3" s="847"/>
      <c r="G3" s="35" t="s">
        <v>60</v>
      </c>
    </row>
    <row r="4" spans="1:16" ht="15.75" x14ac:dyDescent="0.25">
      <c r="A4" s="36" t="s">
        <v>61</v>
      </c>
      <c r="B4" s="846" t="s">
        <v>62</v>
      </c>
      <c r="C4" s="847"/>
      <c r="D4" s="847"/>
      <c r="E4" s="847"/>
      <c r="F4" s="847"/>
      <c r="G4" s="39" t="s">
        <v>63</v>
      </c>
    </row>
    <row r="5" spans="1:16" x14ac:dyDescent="0.2">
      <c r="A5" s="850" t="s">
        <v>64</v>
      </c>
      <c r="B5" s="847"/>
      <c r="C5" s="847"/>
      <c r="D5" s="847"/>
      <c r="E5" s="847"/>
      <c r="F5" s="847"/>
      <c r="G5" s="35" t="s">
        <v>65</v>
      </c>
    </row>
    <row r="6" spans="1:16" x14ac:dyDescent="0.2">
      <c r="A6" s="36" t="s">
        <v>66</v>
      </c>
      <c r="B6" s="846" t="s">
        <v>67</v>
      </c>
      <c r="C6" s="847"/>
      <c r="D6" s="847"/>
      <c r="E6" s="847"/>
      <c r="F6" s="847"/>
    </row>
    <row r="7" spans="1:16" x14ac:dyDescent="0.2">
      <c r="A7" s="36" t="s">
        <v>68</v>
      </c>
      <c r="B7" s="846" t="s">
        <v>69</v>
      </c>
      <c r="C7" s="847"/>
      <c r="D7" s="847"/>
      <c r="E7" s="847"/>
      <c r="F7" s="847"/>
    </row>
    <row r="8" spans="1:16" x14ac:dyDescent="0.2">
      <c r="A8" s="36" t="s">
        <v>70</v>
      </c>
      <c r="B8" s="846" t="s">
        <v>71</v>
      </c>
      <c r="C8" s="847"/>
      <c r="D8" s="847"/>
      <c r="E8" s="847"/>
      <c r="F8" s="847"/>
    </row>
    <row r="9" spans="1:16" x14ac:dyDescent="0.2">
      <c r="A9" s="36" t="s">
        <v>72</v>
      </c>
      <c r="B9" s="848" t="s">
        <v>95</v>
      </c>
      <c r="C9" s="847"/>
      <c r="D9" s="847"/>
      <c r="E9" s="847"/>
      <c r="F9" s="847"/>
    </row>
    <row r="11" spans="1:16" ht="13.5" thickBot="1" x14ac:dyDescent="0.25">
      <c r="A11" s="106" t="s">
        <v>31</v>
      </c>
      <c r="B11" s="106" t="s">
        <v>73</v>
      </c>
      <c r="C11" s="106" t="s">
        <v>74</v>
      </c>
      <c r="D11" s="106" t="s">
        <v>75</v>
      </c>
      <c r="E11" s="106" t="s">
        <v>76</v>
      </c>
      <c r="F11" s="106" t="s">
        <v>77</v>
      </c>
      <c r="G11" s="106" t="s">
        <v>78</v>
      </c>
      <c r="H11" s="106" t="s">
        <v>79</v>
      </c>
      <c r="I11" s="106" t="s">
        <v>80</v>
      </c>
      <c r="J11" s="106" t="s">
        <v>81</v>
      </c>
      <c r="K11" s="106" t="s">
        <v>82</v>
      </c>
      <c r="L11" s="106" t="s">
        <v>83</v>
      </c>
      <c r="M11" s="106" t="s">
        <v>84</v>
      </c>
      <c r="N11" s="37" t="s">
        <v>85</v>
      </c>
      <c r="O11" s="37" t="s">
        <v>86</v>
      </c>
      <c r="P11" s="37" t="s">
        <v>87</v>
      </c>
    </row>
    <row r="12" spans="1:16" ht="13.5" thickTop="1" x14ac:dyDescent="0.2">
      <c r="A12" s="107">
        <v>2012</v>
      </c>
      <c r="B12" s="108">
        <v>227.84200000000001</v>
      </c>
      <c r="C12" s="108">
        <v>228.32900000000001</v>
      </c>
      <c r="D12" s="108">
        <v>228.80699999999999</v>
      </c>
      <c r="E12" s="108">
        <v>229.18700000000001</v>
      </c>
      <c r="F12" s="108">
        <v>228.71299999999999</v>
      </c>
      <c r="G12" s="108">
        <v>228.524</v>
      </c>
      <c r="H12" s="108">
        <v>228.59</v>
      </c>
      <c r="I12" s="108">
        <v>229.91800000000001</v>
      </c>
      <c r="J12" s="108">
        <v>231.01499999999999</v>
      </c>
      <c r="K12" s="108">
        <v>231.63800000000001</v>
      </c>
      <c r="L12" s="108">
        <v>231.249</v>
      </c>
      <c r="M12" s="108">
        <v>231.221</v>
      </c>
      <c r="N12" s="38">
        <f t="shared" ref="N12:N22" si="0">AVERAGE(B12:M12)</f>
        <v>229.58608333333328</v>
      </c>
    </row>
    <row r="13" spans="1:16" x14ac:dyDescent="0.2">
      <c r="A13" s="107">
        <v>2013</v>
      </c>
      <c r="B13" s="108">
        <v>231.679</v>
      </c>
      <c r="C13" s="108">
        <v>232.93700000000001</v>
      </c>
      <c r="D13" s="108">
        <v>232.28200000000001</v>
      </c>
      <c r="E13" s="108">
        <v>231.797</v>
      </c>
      <c r="F13" s="108">
        <v>231.893</v>
      </c>
      <c r="G13" s="108">
        <v>232.44499999999999</v>
      </c>
      <c r="H13" s="108">
        <v>232.9</v>
      </c>
      <c r="I13" s="108">
        <v>233.45599999999999</v>
      </c>
      <c r="J13" s="108">
        <v>233.54400000000001</v>
      </c>
      <c r="K13" s="108">
        <v>233.66900000000001</v>
      </c>
      <c r="L13" s="108">
        <v>234.1</v>
      </c>
      <c r="M13" s="108">
        <v>234.71899999999999</v>
      </c>
      <c r="N13" s="38">
        <f t="shared" si="0"/>
        <v>232.95174999999998</v>
      </c>
    </row>
    <row r="14" spans="1:16" x14ac:dyDescent="0.2">
      <c r="A14" s="107">
        <v>2014</v>
      </c>
      <c r="B14" s="108">
        <v>235.28800000000001</v>
      </c>
      <c r="C14" s="108">
        <v>235.547</v>
      </c>
      <c r="D14" s="108">
        <v>236.02799999999999</v>
      </c>
      <c r="E14" s="108">
        <v>236.46799999999999</v>
      </c>
      <c r="F14" s="108">
        <v>236.91800000000001</v>
      </c>
      <c r="G14" s="108">
        <v>237.23099999999999</v>
      </c>
      <c r="H14" s="108">
        <v>237.49799999999999</v>
      </c>
      <c r="I14" s="108">
        <v>237.46</v>
      </c>
      <c r="J14" s="108">
        <v>237.477</v>
      </c>
      <c r="K14" s="108">
        <v>237.43</v>
      </c>
      <c r="L14" s="108">
        <v>236.983</v>
      </c>
      <c r="M14" s="108">
        <v>236.25200000000001</v>
      </c>
      <c r="N14" s="38">
        <f t="shared" si="0"/>
        <v>236.715</v>
      </c>
    </row>
    <row r="15" spans="1:16" x14ac:dyDescent="0.2">
      <c r="A15" s="107">
        <v>2015</v>
      </c>
      <c r="B15" s="108">
        <v>234.74700000000001</v>
      </c>
      <c r="C15" s="108">
        <v>235.34200000000001</v>
      </c>
      <c r="D15" s="108">
        <v>235.976</v>
      </c>
      <c r="E15" s="108">
        <v>236.22200000000001</v>
      </c>
      <c r="F15" s="108">
        <v>237.001</v>
      </c>
      <c r="G15" s="108">
        <v>237.65700000000001</v>
      </c>
      <c r="H15" s="108">
        <v>238.03399999999999</v>
      </c>
      <c r="I15" s="108">
        <v>238.03299999999999</v>
      </c>
      <c r="J15" s="108">
        <v>237.49799999999999</v>
      </c>
      <c r="K15" s="108">
        <v>237.733</v>
      </c>
      <c r="L15" s="108">
        <v>238.017</v>
      </c>
      <c r="M15" s="108">
        <v>237.761</v>
      </c>
      <c r="N15" s="38">
        <f t="shared" si="0"/>
        <v>237.00174999999999</v>
      </c>
    </row>
    <row r="16" spans="1:16" x14ac:dyDescent="0.2">
      <c r="A16" s="107">
        <v>2016</v>
      </c>
      <c r="B16" s="108">
        <v>237.65199999999999</v>
      </c>
      <c r="C16" s="108">
        <v>237.33600000000001</v>
      </c>
      <c r="D16" s="108">
        <v>238.08</v>
      </c>
      <c r="E16" s="108">
        <v>238.99199999999999</v>
      </c>
      <c r="F16" s="108">
        <v>239.55699999999999</v>
      </c>
      <c r="G16" s="108">
        <v>240.22200000000001</v>
      </c>
      <c r="H16" s="108">
        <v>240.101</v>
      </c>
      <c r="I16" s="108">
        <v>240.54499999999999</v>
      </c>
      <c r="J16" s="108">
        <v>241.17599999999999</v>
      </c>
      <c r="K16" s="108">
        <v>241.74100000000001</v>
      </c>
      <c r="L16" s="108">
        <v>242.02600000000001</v>
      </c>
      <c r="M16" s="108">
        <v>242.637</v>
      </c>
      <c r="N16" s="38">
        <f t="shared" si="0"/>
        <v>240.00541666666666</v>
      </c>
    </row>
    <row r="17" spans="1:14" x14ac:dyDescent="0.2">
      <c r="A17" s="107">
        <v>2017</v>
      </c>
      <c r="B17" s="108">
        <v>243.61799999999999</v>
      </c>
      <c r="C17" s="108">
        <v>244.006</v>
      </c>
      <c r="D17" s="108">
        <v>243.892</v>
      </c>
      <c r="E17" s="108">
        <v>244.19300000000001</v>
      </c>
      <c r="F17" s="108">
        <v>244.00399999999999</v>
      </c>
      <c r="G17" s="108">
        <v>244.16300000000001</v>
      </c>
      <c r="H17" s="108">
        <v>244.24299999999999</v>
      </c>
      <c r="I17" s="108">
        <v>245.18299999999999</v>
      </c>
      <c r="J17" s="108">
        <v>246.435</v>
      </c>
      <c r="K17" s="108">
        <v>246.626</v>
      </c>
      <c r="L17" s="108">
        <v>247.28399999999999</v>
      </c>
      <c r="M17" s="108">
        <v>247.80500000000001</v>
      </c>
      <c r="N17" s="38">
        <f t="shared" si="0"/>
        <v>245.12100000000001</v>
      </c>
    </row>
    <row r="18" spans="1:14" x14ac:dyDescent="0.2">
      <c r="A18" s="107">
        <v>2018</v>
      </c>
      <c r="B18" s="108">
        <v>248.74299999999999</v>
      </c>
      <c r="C18" s="108">
        <v>249.43899999999999</v>
      </c>
      <c r="D18" s="108">
        <v>249.58099999999999</v>
      </c>
      <c r="E18" s="108">
        <v>250.14599999999999</v>
      </c>
      <c r="F18" s="108">
        <v>250.779</v>
      </c>
      <c r="G18" s="108">
        <v>251.11799999999999</v>
      </c>
      <c r="H18" s="108">
        <v>251.32300000000001</v>
      </c>
      <c r="I18" s="108">
        <v>251.749</v>
      </c>
      <c r="J18" s="108">
        <v>252.239</v>
      </c>
      <c r="K18" s="108">
        <v>252.86199999999999</v>
      </c>
      <c r="L18" s="108">
        <v>252.65700000000001</v>
      </c>
      <c r="M18" s="108">
        <v>252.55099999999999</v>
      </c>
      <c r="N18" s="38">
        <f t="shared" si="0"/>
        <v>251.0989166666667</v>
      </c>
    </row>
    <row r="19" spans="1:14" x14ac:dyDescent="0.2">
      <c r="A19" s="107">
        <v>2019</v>
      </c>
      <c r="B19" s="108">
        <v>252.47</v>
      </c>
      <c r="C19" s="108">
        <v>253.13499999999999</v>
      </c>
      <c r="D19" s="108">
        <v>254.273</v>
      </c>
      <c r="E19" s="108">
        <v>255.16300000000001</v>
      </c>
      <c r="F19" s="108">
        <v>255.32499999999999</v>
      </c>
      <c r="G19" s="108">
        <v>255.36099999999999</v>
      </c>
      <c r="H19" s="108">
        <v>255.9</v>
      </c>
      <c r="I19" s="108">
        <v>256.17899999999997</v>
      </c>
      <c r="J19" s="108">
        <v>256.596</v>
      </c>
      <c r="K19" s="108">
        <v>257.30500000000001</v>
      </c>
      <c r="L19" s="108">
        <v>257.78800000000001</v>
      </c>
      <c r="M19" s="108">
        <v>258.26299999999998</v>
      </c>
      <c r="N19" s="38">
        <f t="shared" si="0"/>
        <v>255.64649999999997</v>
      </c>
    </row>
    <row r="20" spans="1:14" x14ac:dyDescent="0.2">
      <c r="A20" s="107">
        <v>2020</v>
      </c>
      <c r="B20" s="108">
        <v>258.68200000000002</v>
      </c>
      <c r="C20" s="108">
        <v>259.00700000000001</v>
      </c>
      <c r="D20" s="108">
        <v>258.16500000000002</v>
      </c>
      <c r="E20" s="108">
        <v>256.09399999999999</v>
      </c>
      <c r="F20" s="108">
        <v>255.94399999999999</v>
      </c>
      <c r="G20" s="108">
        <v>257.21699999999998</v>
      </c>
      <c r="H20" s="108">
        <v>258.54300000000001</v>
      </c>
      <c r="I20" s="108">
        <v>259.58</v>
      </c>
      <c r="J20" s="108">
        <v>260.19</v>
      </c>
      <c r="K20" s="108">
        <v>260.35199999999998</v>
      </c>
      <c r="L20" s="108">
        <v>260.721</v>
      </c>
      <c r="M20" s="108">
        <v>261.56400000000002</v>
      </c>
      <c r="N20" s="38">
        <f t="shared" si="0"/>
        <v>258.83824999999996</v>
      </c>
    </row>
    <row r="21" spans="1:14" x14ac:dyDescent="0.2">
      <c r="A21" s="107">
        <v>2021</v>
      </c>
      <c r="B21" s="108">
        <v>262.2</v>
      </c>
      <c r="C21" s="108">
        <v>263.346</v>
      </c>
      <c r="D21" s="108">
        <v>265.02800000000002</v>
      </c>
      <c r="E21" s="108">
        <v>266.72699999999998</v>
      </c>
      <c r="F21" s="108">
        <v>268.59899999999999</v>
      </c>
      <c r="G21" s="108">
        <v>270.95499999999998</v>
      </c>
      <c r="H21" s="108">
        <v>272.18400000000003</v>
      </c>
      <c r="I21" s="108">
        <v>273.09199999999998</v>
      </c>
      <c r="J21" s="108">
        <v>274.214</v>
      </c>
      <c r="K21" s="108">
        <v>276.58999999999997</v>
      </c>
      <c r="L21" s="108">
        <v>278.524</v>
      </c>
      <c r="M21" s="108">
        <v>280.12599999999998</v>
      </c>
      <c r="N21" s="38">
        <f t="shared" si="0"/>
        <v>270.96541666666667</v>
      </c>
    </row>
    <row r="22" spans="1:14" ht="15" x14ac:dyDescent="0.25">
      <c r="A22" s="107">
        <v>2022</v>
      </c>
      <c r="B22" s="108">
        <v>281.93299999999999</v>
      </c>
      <c r="C22" s="108">
        <v>284.18200000000002</v>
      </c>
      <c r="D22" s="105"/>
      <c r="E22" s="105"/>
      <c r="F22" s="105"/>
      <c r="G22" s="105"/>
      <c r="H22" s="105"/>
      <c r="I22" s="105"/>
      <c r="J22" s="105"/>
      <c r="K22" s="105"/>
      <c r="L22" s="105"/>
      <c r="M22" s="105"/>
      <c r="N22" s="38">
        <f t="shared" si="0"/>
        <v>283.0575</v>
      </c>
    </row>
    <row r="23" spans="1:14" x14ac:dyDescent="0.2">
      <c r="A23" s="40"/>
      <c r="N23" s="69"/>
    </row>
    <row r="24" spans="1:14" ht="15.75" x14ac:dyDescent="0.25">
      <c r="A24"/>
      <c r="B24"/>
      <c r="C24"/>
      <c r="D24" s="12" t="s">
        <v>88</v>
      </c>
      <c r="G24" s="35" t="s">
        <v>245</v>
      </c>
    </row>
    <row r="25" spans="1:14" ht="15.75" x14ac:dyDescent="0.25">
      <c r="A25" t="s">
        <v>89</v>
      </c>
      <c r="B25" t="s">
        <v>90</v>
      </c>
      <c r="C25" s="70">
        <v>2020</v>
      </c>
      <c r="D25" s="71">
        <f>VLOOKUP(C25,$A$12:$N$23,14,FALSE)</f>
        <v>258.83824999999996</v>
      </c>
      <c r="E25" s="70">
        <v>2020</v>
      </c>
      <c r="F25" s="71">
        <f>VLOOKUP(E25,$A$12:$N$23,14,FALSE)</f>
        <v>258.83824999999996</v>
      </c>
      <c r="G25" s="70">
        <v>2020</v>
      </c>
      <c r="H25" s="35">
        <v>2020</v>
      </c>
      <c r="I25" s="71">
        <f>VLOOKUP(H25,$A$12:$N$23,14,FALSE)</f>
        <v>258.83824999999996</v>
      </c>
    </row>
    <row r="26" spans="1:14" ht="15.75" x14ac:dyDescent="0.25">
      <c r="A26"/>
      <c r="B26" t="s">
        <v>91</v>
      </c>
      <c r="C26">
        <v>2021</v>
      </c>
      <c r="D26">
        <f>VLOOKUP(C26,$A$12:$N$23,14,FALSE)</f>
        <v>270.96541666666667</v>
      </c>
      <c r="E26">
        <v>2019</v>
      </c>
      <c r="F26">
        <f>VLOOKUP(E26,$A$12:$N$23,14,FALSE)</f>
        <v>255.64649999999997</v>
      </c>
      <c r="G26" s="35">
        <v>2006</v>
      </c>
      <c r="H26" s="35">
        <v>2015</v>
      </c>
      <c r="I26">
        <f>VLOOKUP(H26,$A$12:$N$23,14,FALSE)</f>
        <v>237.00174999999999</v>
      </c>
    </row>
    <row r="27" spans="1:14" ht="15.75" x14ac:dyDescent="0.25">
      <c r="A27"/>
      <c r="B27" t="s">
        <v>32</v>
      </c>
      <c r="C27"/>
      <c r="D27">
        <f>D25/D26</f>
        <v>0.9552445960969802</v>
      </c>
      <c r="E27"/>
      <c r="F27">
        <f>F25/F26</f>
        <v>1.0124850134854182</v>
      </c>
      <c r="G27" s="35">
        <v>1.3</v>
      </c>
      <c r="I27">
        <f>I25/I26</f>
        <v>1.0921364504692475</v>
      </c>
    </row>
    <row r="36" spans="1:9" ht="15.75" x14ac:dyDescent="0.25">
      <c r="A36"/>
      <c r="B36"/>
      <c r="C36"/>
      <c r="D36"/>
    </row>
    <row r="42" spans="1:9" ht="15.75" x14ac:dyDescent="0.25">
      <c r="A42" t="s">
        <v>189</v>
      </c>
      <c r="B42"/>
      <c r="C42"/>
      <c r="D42"/>
      <c r="E42"/>
      <c r="F42"/>
      <c r="G42"/>
      <c r="H42"/>
      <c r="I42"/>
    </row>
    <row r="43" spans="1:9" ht="15.75" x14ac:dyDescent="0.25">
      <c r="A43" t="s">
        <v>190</v>
      </c>
      <c r="B43"/>
      <c r="C43"/>
      <c r="D43"/>
      <c r="E43"/>
      <c r="F43"/>
      <c r="G43"/>
      <c r="H43"/>
      <c r="I43"/>
    </row>
    <row r="44" spans="1:9" ht="15.75" x14ac:dyDescent="0.25">
      <c r="A44" t="s">
        <v>191</v>
      </c>
      <c r="B44" t="s">
        <v>192</v>
      </c>
      <c r="C44" t="s">
        <v>193</v>
      </c>
      <c r="D44" t="s">
        <v>194</v>
      </c>
      <c r="E44" t="s">
        <v>195</v>
      </c>
      <c r="F44" t="s">
        <v>196</v>
      </c>
      <c r="G44" t="s">
        <v>197</v>
      </c>
      <c r="H44" t="s">
        <v>198</v>
      </c>
      <c r="I44" t="s">
        <v>199</v>
      </c>
    </row>
    <row r="45" spans="1:9" ht="16.5" thickBot="1" x14ac:dyDescent="0.3">
      <c r="A45" s="243">
        <v>14</v>
      </c>
      <c r="B45" t="s">
        <v>242</v>
      </c>
      <c r="C45">
        <v>91.3</v>
      </c>
      <c r="D45">
        <v>90.1</v>
      </c>
      <c r="E45">
        <v>80.7</v>
      </c>
      <c r="F45">
        <v>99.7</v>
      </c>
      <c r="G45">
        <v>103.2</v>
      </c>
      <c r="H45">
        <v>96.3</v>
      </c>
      <c r="I45">
        <v>96.3</v>
      </c>
    </row>
    <row r="46" spans="1:9" ht="15" thickBot="1" x14ac:dyDescent="0.25">
      <c r="A46" s="201">
        <v>17</v>
      </c>
      <c r="B46" s="201" t="s">
        <v>188</v>
      </c>
      <c r="C46" s="201">
        <v>93.1</v>
      </c>
      <c r="D46" s="201">
        <v>92.1</v>
      </c>
      <c r="E46" s="201">
        <v>79.900000000000006</v>
      </c>
      <c r="F46" s="201">
        <v>104.7</v>
      </c>
      <c r="G46" s="201">
        <v>103</v>
      </c>
      <c r="H46" s="201">
        <v>81.599999999999994</v>
      </c>
      <c r="I46" s="201">
        <v>102.6</v>
      </c>
    </row>
    <row r="47" spans="1:9" ht="15" thickBot="1" x14ac:dyDescent="0.25">
      <c r="A47" s="201">
        <v>48</v>
      </c>
      <c r="B47" s="201" t="s">
        <v>187</v>
      </c>
      <c r="C47" s="201">
        <v>142.19999999999999</v>
      </c>
      <c r="D47" s="201">
        <v>113.7</v>
      </c>
      <c r="E47" s="201">
        <v>201.9</v>
      </c>
      <c r="F47" s="201">
        <v>124.3</v>
      </c>
      <c r="G47" s="201">
        <v>131.69999999999999</v>
      </c>
      <c r="H47" s="201">
        <v>110.7</v>
      </c>
      <c r="I47" s="201">
        <v>110.3</v>
      </c>
    </row>
    <row r="48" spans="1:9" ht="15" thickBot="1" x14ac:dyDescent="0.25">
      <c r="A48" s="201">
        <v>44</v>
      </c>
      <c r="B48" s="201" t="s">
        <v>258</v>
      </c>
      <c r="C48" s="201">
        <v>124</v>
      </c>
      <c r="D48" s="201">
        <v>110.4</v>
      </c>
      <c r="E48" s="201">
        <v>165.9</v>
      </c>
      <c r="F48" s="201">
        <v>105.1</v>
      </c>
      <c r="G48" s="201">
        <v>107.6</v>
      </c>
      <c r="H48" s="201">
        <v>82.8</v>
      </c>
      <c r="I48" s="201">
        <v>105.2</v>
      </c>
    </row>
    <row r="49" spans="1:9" ht="14.25" x14ac:dyDescent="0.2">
      <c r="A49" s="244"/>
      <c r="B49" s="244"/>
      <c r="C49" s="244"/>
      <c r="D49" s="244"/>
      <c r="E49" s="244"/>
      <c r="F49" s="244"/>
      <c r="G49" s="244"/>
      <c r="H49" s="244"/>
      <c r="I49" s="244"/>
    </row>
    <row r="50" spans="1:9" x14ac:dyDescent="0.2">
      <c r="A50" s="35" t="s">
        <v>200</v>
      </c>
      <c r="B50" s="35" t="s">
        <v>243</v>
      </c>
      <c r="C50" s="35">
        <f>C47/C46</f>
        <v>1.5273899033297529</v>
      </c>
      <c r="D50" s="35">
        <f t="shared" ref="D50:I50" si="1">D47/D46</f>
        <v>1.234527687296417</v>
      </c>
      <c r="E50" s="35">
        <f t="shared" si="1"/>
        <v>2.5269086357947432</v>
      </c>
      <c r="F50" s="35">
        <f t="shared" si="1"/>
        <v>1.1872015281757402</v>
      </c>
      <c r="G50" s="35">
        <f t="shared" si="1"/>
        <v>1.2786407766990291</v>
      </c>
      <c r="H50" s="35">
        <f t="shared" si="1"/>
        <v>1.3566176470588236</v>
      </c>
      <c r="I50" s="35">
        <f t="shared" si="1"/>
        <v>1.0750487329434699</v>
      </c>
    </row>
    <row r="51" spans="1:9" x14ac:dyDescent="0.2">
      <c r="B51" s="35" t="s">
        <v>244</v>
      </c>
      <c r="C51" s="35">
        <f>C47/C45</f>
        <v>1.5575027382256297</v>
      </c>
      <c r="D51" s="35">
        <f t="shared" ref="D51:I51" si="2">D47/D45</f>
        <v>1.2619311875693675</v>
      </c>
      <c r="E51" s="35">
        <f t="shared" si="2"/>
        <v>2.5018587360594795</v>
      </c>
      <c r="F51" s="35">
        <f t="shared" si="2"/>
        <v>1.246740220661986</v>
      </c>
      <c r="G51" s="35">
        <f t="shared" si="2"/>
        <v>1.2761627906976742</v>
      </c>
      <c r="H51" s="35">
        <f t="shared" si="2"/>
        <v>1.1495327102803738</v>
      </c>
      <c r="I51" s="35">
        <f t="shared" si="2"/>
        <v>1.1453790238836967</v>
      </c>
    </row>
    <row r="52" spans="1:9" x14ac:dyDescent="0.2">
      <c r="B52" s="35" t="s">
        <v>259</v>
      </c>
      <c r="C52" s="35">
        <f>C47/C48</f>
        <v>1.1467741935483871</v>
      </c>
      <c r="D52" s="35">
        <f t="shared" ref="D52:I52" si="3">D47/D48</f>
        <v>1.0298913043478262</v>
      </c>
      <c r="E52" s="35">
        <f t="shared" si="3"/>
        <v>1.2169981916817361</v>
      </c>
      <c r="F52" s="35">
        <f t="shared" si="3"/>
        <v>1.1826831588962894</v>
      </c>
      <c r="G52" s="35">
        <f t="shared" si="3"/>
        <v>1.2239776951672863</v>
      </c>
      <c r="H52" s="35">
        <f t="shared" si="3"/>
        <v>1.3369565217391306</v>
      </c>
      <c r="I52" s="35">
        <f t="shared" si="3"/>
        <v>1.0484790874524714</v>
      </c>
    </row>
  </sheetData>
  <mergeCells count="9">
    <mergeCell ref="B7:F7"/>
    <mergeCell ref="B8:F8"/>
    <mergeCell ref="B9:F9"/>
    <mergeCell ref="A1:F1"/>
    <mergeCell ref="A2:F2"/>
    <mergeCell ref="A3:F3"/>
    <mergeCell ref="B4:F4"/>
    <mergeCell ref="A5:F5"/>
    <mergeCell ref="B6:F6"/>
  </mergeCells>
  <hyperlinks>
    <hyperlink ref="G4" r:id="rId1" xr:uid="{00000000-0004-0000-0A00-000000000000}"/>
  </hyperlinks>
  <printOptions gridLines="1"/>
  <pageMargins left="0.75" right="0.75" top="1" bottom="1" header="0.5" footer="0.5"/>
  <pageSetup scale="86" orientation="landscape" r:id="rId2"/>
  <headerFooter alignWithMargins="0">
    <oddHeader>&amp;CBureau of Labor Statistics&amp;L&amp;R</oddHeader>
    <oddFooter>&amp;C&amp;LSource: Bureau of Labor Statistics&amp;RGenerated on: April 24, 2014 (04:32:16 PM)</oddFooter>
  </headerFooter>
  <ignoredErrors>
    <ignoredError sqref="N12:N2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E209-F39D-4FAB-93D5-9B70F711369D}">
  <sheetPr codeName="Sheet1"/>
  <dimension ref="A1:N58"/>
  <sheetViews>
    <sheetView topLeftCell="A33" workbookViewId="0">
      <selection activeCell="C45" sqref="C45"/>
    </sheetView>
    <sheetView topLeftCell="A31" workbookViewId="1">
      <selection activeCell="D55" sqref="D55"/>
    </sheetView>
  </sheetViews>
  <sheetFormatPr defaultRowHeight="15.75" x14ac:dyDescent="0.25"/>
  <cols>
    <col min="1" max="1" width="3.625" customWidth="1"/>
    <col min="2" max="2" width="41.875" customWidth="1"/>
    <col min="3" max="3" width="13.625" customWidth="1"/>
    <col min="4" max="4" width="13.75" customWidth="1"/>
    <col min="5" max="5" width="13.125" customWidth="1"/>
    <col min="6" max="6" width="22.5" customWidth="1"/>
    <col min="7" max="7" width="23.375" customWidth="1"/>
  </cols>
  <sheetData>
    <row r="1" spans="1:8" ht="72.75" customHeight="1" x14ac:dyDescent="0.25">
      <c r="B1" s="749" t="s">
        <v>371</v>
      </c>
      <c r="C1" s="749"/>
      <c r="D1" s="749"/>
      <c r="E1" s="749"/>
      <c r="F1" s="749"/>
      <c r="G1" s="749"/>
      <c r="H1" s="749"/>
    </row>
    <row r="2" spans="1:8" ht="27" customHeight="1" x14ac:dyDescent="0.25">
      <c r="B2" s="749" t="s">
        <v>370</v>
      </c>
      <c r="C2" s="749"/>
      <c r="D2" s="749"/>
      <c r="E2" s="749"/>
      <c r="F2" s="749"/>
      <c r="G2" s="749"/>
      <c r="H2" s="749"/>
    </row>
    <row r="3" spans="1:8" x14ac:dyDescent="0.25">
      <c r="B3" s="749"/>
      <c r="C3" s="749"/>
      <c r="D3" s="749"/>
      <c r="E3" s="749"/>
      <c r="F3" s="749"/>
      <c r="G3" s="749"/>
      <c r="H3" s="749"/>
    </row>
    <row r="4" spans="1:8" x14ac:dyDescent="0.25">
      <c r="B4" s="749"/>
      <c r="C4" s="749"/>
      <c r="D4" s="749"/>
      <c r="E4" s="749"/>
      <c r="F4" s="749"/>
      <c r="G4" s="749"/>
      <c r="H4" s="749"/>
    </row>
    <row r="7" spans="1:8" x14ac:dyDescent="0.25">
      <c r="A7" s="28" t="s">
        <v>372</v>
      </c>
    </row>
    <row r="8" spans="1:8" x14ac:dyDescent="0.25">
      <c r="B8" t="s">
        <v>99</v>
      </c>
      <c r="C8">
        <v>2020</v>
      </c>
      <c r="E8" t="s">
        <v>97</v>
      </c>
    </row>
    <row r="9" spans="1:8" x14ac:dyDescent="0.25">
      <c r="B9" t="s">
        <v>96</v>
      </c>
      <c r="C9">
        <v>30</v>
      </c>
    </row>
    <row r="10" spans="1:8" x14ac:dyDescent="0.25">
      <c r="D10" t="s">
        <v>210</v>
      </c>
      <c r="E10" t="s">
        <v>211</v>
      </c>
      <c r="F10" t="s">
        <v>212</v>
      </c>
    </row>
    <row r="11" spans="1:8" x14ac:dyDescent="0.25">
      <c r="B11" t="s">
        <v>202</v>
      </c>
      <c r="C11" t="s">
        <v>203</v>
      </c>
      <c r="D11">
        <f>5753</f>
        <v>5753</v>
      </c>
      <c r="E11">
        <f>D11/5280</f>
        <v>1.0895833333333333</v>
      </c>
      <c r="F11">
        <f>E11*2</f>
        <v>2.1791666666666667</v>
      </c>
      <c r="G11" t="s">
        <v>205</v>
      </c>
    </row>
    <row r="12" spans="1:8" x14ac:dyDescent="0.25">
      <c r="C12" t="s">
        <v>100</v>
      </c>
      <c r="D12">
        <v>5499</v>
      </c>
      <c r="E12">
        <f>D12/5280</f>
        <v>1.0414772727272728</v>
      </c>
      <c r="F12">
        <f>E12*2</f>
        <v>2.0829545454545455</v>
      </c>
      <c r="G12" t="s">
        <v>206</v>
      </c>
    </row>
    <row r="15" spans="1:8" x14ac:dyDescent="0.25">
      <c r="B15" t="s">
        <v>204</v>
      </c>
      <c r="C15" t="s">
        <v>203</v>
      </c>
      <c r="D15">
        <v>2200</v>
      </c>
      <c r="G15" t="s">
        <v>207</v>
      </c>
      <c r="H15" t="s">
        <v>208</v>
      </c>
    </row>
    <row r="16" spans="1:8" x14ac:dyDescent="0.25">
      <c r="C16" t="s">
        <v>100</v>
      </c>
      <c r="D16">
        <v>6270</v>
      </c>
      <c r="G16" t="s">
        <v>209</v>
      </c>
    </row>
    <row r="17" spans="2:6" x14ac:dyDescent="0.25">
      <c r="B17" t="s">
        <v>240</v>
      </c>
      <c r="C17" t="s">
        <v>203</v>
      </c>
    </row>
    <row r="19" spans="2:6" x14ac:dyDescent="0.25">
      <c r="B19" t="s">
        <v>93</v>
      </c>
      <c r="C19">
        <v>2025</v>
      </c>
    </row>
    <row r="20" spans="2:6" x14ac:dyDescent="0.25">
      <c r="B20" t="s">
        <v>94</v>
      </c>
      <c r="C20">
        <v>2054</v>
      </c>
    </row>
    <row r="23" spans="2:6" x14ac:dyDescent="0.25">
      <c r="B23" t="s">
        <v>114</v>
      </c>
    </row>
    <row r="24" spans="2:6" x14ac:dyDescent="0.25">
      <c r="B24" t="s">
        <v>115</v>
      </c>
    </row>
    <row r="25" spans="2:6" x14ac:dyDescent="0.25">
      <c r="B25" t="s">
        <v>131</v>
      </c>
    </row>
    <row r="27" spans="2:6" ht="16.5" thickBot="1" x14ac:dyDescent="0.3">
      <c r="B27" s="140" t="s">
        <v>116</v>
      </c>
      <c r="C27" s="140" t="s">
        <v>117</v>
      </c>
      <c r="D27" s="140" t="s">
        <v>33</v>
      </c>
    </row>
    <row r="28" spans="2:6" x14ac:dyDescent="0.25">
      <c r="B28" s="752" t="s">
        <v>118</v>
      </c>
      <c r="C28" s="141">
        <v>1000000</v>
      </c>
      <c r="D28" s="755">
        <f>C28+C29</f>
        <v>18000000</v>
      </c>
      <c r="E28" s="142">
        <f>D28*0.15</f>
        <v>2700000</v>
      </c>
      <c r="F28" s="99" t="s">
        <v>119</v>
      </c>
    </row>
    <row r="29" spans="2:6" x14ac:dyDescent="0.25">
      <c r="B29" s="753"/>
      <c r="C29" s="851">
        <v>17000000</v>
      </c>
      <c r="D29" s="756"/>
      <c r="E29" s="143">
        <f>D28*0.75</f>
        <v>13500000</v>
      </c>
      <c r="F29" s="144" t="s">
        <v>92</v>
      </c>
    </row>
    <row r="30" spans="2:6" ht="16.5" thickBot="1" x14ac:dyDescent="0.3">
      <c r="B30" s="754"/>
      <c r="C30" s="852"/>
      <c r="D30" s="757"/>
      <c r="E30" s="145">
        <f>C29*0.1</f>
        <v>1700000</v>
      </c>
      <c r="F30" s="146" t="s">
        <v>120</v>
      </c>
    </row>
    <row r="31" spans="2:6" x14ac:dyDescent="0.25">
      <c r="B31" s="752" t="s">
        <v>185</v>
      </c>
      <c r="C31" s="141">
        <v>13000000</v>
      </c>
      <c r="D31" s="760">
        <f>C31+C32</f>
        <v>26000000</v>
      </c>
      <c r="E31" s="19">
        <f>D31*0.1</f>
        <v>2600000</v>
      </c>
      <c r="F31" s="99" t="s">
        <v>119</v>
      </c>
    </row>
    <row r="32" spans="2:6" x14ac:dyDescent="0.25">
      <c r="B32" s="753"/>
      <c r="C32" s="851">
        <v>13000000</v>
      </c>
      <c r="D32" s="758"/>
      <c r="E32" s="20">
        <f>D31*0.85</f>
        <v>22100000</v>
      </c>
      <c r="F32" s="144" t="s">
        <v>92</v>
      </c>
    </row>
    <row r="33" spans="2:14" ht="16.5" thickBot="1" x14ac:dyDescent="0.3">
      <c r="B33" s="754"/>
      <c r="C33" s="852"/>
      <c r="D33" s="759"/>
      <c r="E33" s="17">
        <f>D31*0.05</f>
        <v>1300000</v>
      </c>
      <c r="F33" s="146" t="s">
        <v>120</v>
      </c>
    </row>
    <row r="34" spans="2:14" x14ac:dyDescent="0.25">
      <c r="B34" t="s">
        <v>527</v>
      </c>
    </row>
    <row r="36" spans="2:14" x14ac:dyDescent="0.25">
      <c r="B36" s="51" t="s">
        <v>122</v>
      </c>
      <c r="C36" s="136"/>
      <c r="D36" s="136"/>
      <c r="E36" s="136"/>
      <c r="F36" s="147"/>
      <c r="G36" s="147"/>
    </row>
    <row r="37" spans="2:14" x14ac:dyDescent="0.25">
      <c r="B37" s="744" t="s">
        <v>123</v>
      </c>
      <c r="C37" s="744"/>
      <c r="D37" s="744"/>
      <c r="E37" s="744"/>
      <c r="F37" s="744"/>
      <c r="G37" s="744"/>
      <c r="H37" s="744"/>
      <c r="I37" s="744"/>
      <c r="J37" s="744"/>
      <c r="K37" s="744"/>
      <c r="L37" s="744"/>
      <c r="M37" s="744"/>
      <c r="N37" s="744"/>
    </row>
    <row r="39" spans="2:14" x14ac:dyDescent="0.25">
      <c r="C39" s="745">
        <v>2022</v>
      </c>
      <c r="D39" s="745"/>
      <c r="E39" s="745"/>
      <c r="F39" s="745"/>
      <c r="G39" s="745">
        <v>2023</v>
      </c>
      <c r="H39" s="745"/>
      <c r="I39" s="745"/>
      <c r="J39" s="745"/>
      <c r="K39" s="745">
        <v>2024</v>
      </c>
      <c r="L39" s="745"/>
      <c r="M39" s="745"/>
      <c r="N39" s="745"/>
    </row>
    <row r="40" spans="2:14" x14ac:dyDescent="0.25">
      <c r="C40" s="136">
        <v>1</v>
      </c>
      <c r="D40" s="136">
        <v>2</v>
      </c>
      <c r="E40" s="136">
        <v>3</v>
      </c>
      <c r="F40" s="136">
        <v>4</v>
      </c>
      <c r="G40" s="136">
        <v>1</v>
      </c>
      <c r="H40" s="136">
        <v>2</v>
      </c>
      <c r="I40" s="136">
        <v>3</v>
      </c>
      <c r="J40" s="136">
        <v>4</v>
      </c>
      <c r="K40" s="136">
        <v>1</v>
      </c>
      <c r="L40" s="136">
        <v>2</v>
      </c>
      <c r="M40" s="136">
        <v>3</v>
      </c>
      <c r="N40" s="136">
        <v>4</v>
      </c>
    </row>
    <row r="41" spans="2:14" x14ac:dyDescent="0.25">
      <c r="B41" s="148" t="s">
        <v>186</v>
      </c>
      <c r="C41" s="746" t="s">
        <v>124</v>
      </c>
      <c r="D41" s="746"/>
      <c r="E41" s="746"/>
      <c r="F41" s="746"/>
      <c r="G41" s="746"/>
      <c r="H41" s="747" t="s">
        <v>125</v>
      </c>
      <c r="I41" s="747"/>
      <c r="J41" s="742" t="s">
        <v>126</v>
      </c>
      <c r="K41" s="742"/>
      <c r="L41" s="742"/>
      <c r="M41" s="748"/>
      <c r="N41" s="149"/>
    </row>
    <row r="42" spans="2:14" x14ac:dyDescent="0.25">
      <c r="B42" s="150" t="s">
        <v>127</v>
      </c>
      <c r="C42" s="750" t="s">
        <v>128</v>
      </c>
      <c r="D42" s="750"/>
      <c r="E42" s="750"/>
      <c r="F42" s="750"/>
      <c r="G42" s="751" t="s">
        <v>129</v>
      </c>
      <c r="H42" s="751"/>
      <c r="I42" s="751"/>
      <c r="J42" s="742" t="s">
        <v>130</v>
      </c>
      <c r="K42" s="742"/>
      <c r="L42" s="742"/>
      <c r="M42" s="742"/>
      <c r="N42" s="743"/>
    </row>
    <row r="45" spans="2:14" x14ac:dyDescent="0.25">
      <c r="B45" t="s">
        <v>182</v>
      </c>
    </row>
    <row r="46" spans="2:14" x14ac:dyDescent="0.25">
      <c r="B46" t="s">
        <v>183</v>
      </c>
    </row>
    <row r="47" spans="2:14" x14ac:dyDescent="0.25">
      <c r="B47" t="s">
        <v>184</v>
      </c>
    </row>
    <row r="49" spans="2:10" x14ac:dyDescent="0.25">
      <c r="C49" s="42"/>
      <c r="D49" s="42"/>
      <c r="E49" s="42"/>
      <c r="F49" s="42"/>
      <c r="G49" s="42"/>
      <c r="H49" s="42"/>
      <c r="I49" s="35"/>
      <c r="J49" s="35"/>
    </row>
    <row r="51" spans="2:10" ht="18.75" x14ac:dyDescent="0.3">
      <c r="B51" s="1" t="s">
        <v>326</v>
      </c>
      <c r="C51" s="1" t="s">
        <v>323</v>
      </c>
      <c r="D51" s="3"/>
      <c r="E51" s="6"/>
    </row>
    <row r="52" spans="2:10" x14ac:dyDescent="0.25">
      <c r="B52" s="1" t="s">
        <v>316</v>
      </c>
      <c r="C52" s="5" t="s">
        <v>16</v>
      </c>
      <c r="D52" s="5">
        <v>7.0000000000000007E-2</v>
      </c>
      <c r="E52" s="5">
        <v>0.03</v>
      </c>
    </row>
    <row r="53" spans="2:10" x14ac:dyDescent="0.25">
      <c r="B53" s="1" t="s">
        <v>317</v>
      </c>
      <c r="C53" s="316">
        <v>360.98358226007934</v>
      </c>
      <c r="D53" s="316">
        <v>90.7959848613432</v>
      </c>
      <c r="E53" s="316">
        <v>189.98425378077815</v>
      </c>
      <c r="G53" s="316"/>
      <c r="H53" s="316"/>
      <c r="I53" s="316"/>
    </row>
    <row r="54" spans="2:10" x14ac:dyDescent="0.25">
      <c r="B54" s="1" t="s">
        <v>318</v>
      </c>
      <c r="C54" s="316">
        <v>26.95879733984426</v>
      </c>
      <c r="D54" s="316">
        <v>6.5178222166542472</v>
      </c>
      <c r="E54" s="316">
        <v>13.988496878151093</v>
      </c>
      <c r="G54" s="316"/>
      <c r="H54" s="316"/>
      <c r="I54" s="316"/>
    </row>
    <row r="55" spans="2:10" x14ac:dyDescent="0.25">
      <c r="B55" s="1" t="s">
        <v>319</v>
      </c>
      <c r="C55" s="316">
        <v>0.90203055423349399</v>
      </c>
      <c r="D55" s="316">
        <v>0.3104068945920288</v>
      </c>
      <c r="E55" s="316">
        <v>0.54542396335652499</v>
      </c>
      <c r="G55" s="316"/>
      <c r="H55" s="316"/>
      <c r="I55" s="316"/>
    </row>
    <row r="56" spans="2:10" x14ac:dyDescent="0.25">
      <c r="B56" s="1" t="s">
        <v>320</v>
      </c>
      <c r="C56" s="316">
        <v>607.61333897909697</v>
      </c>
      <c r="D56" s="316">
        <v>153.05267916338866</v>
      </c>
      <c r="E56" s="316">
        <v>319.97366079866651</v>
      </c>
      <c r="G56" s="316"/>
      <c r="H56" s="316"/>
      <c r="I56" s="316"/>
    </row>
    <row r="57" spans="2:10" x14ac:dyDescent="0.25">
      <c r="B57" s="1" t="s">
        <v>321</v>
      </c>
      <c r="C57" s="316">
        <v>1.7529352629696577</v>
      </c>
      <c r="D57" s="316">
        <v>0.49483269312644002</v>
      </c>
      <c r="E57" s="316">
        <v>0.96305854951362779</v>
      </c>
      <c r="G57" s="316"/>
      <c r="H57" s="316"/>
      <c r="I57" s="316"/>
    </row>
    <row r="58" spans="2:10" x14ac:dyDescent="0.25">
      <c r="B58" s="2" t="s">
        <v>322</v>
      </c>
      <c r="C58" s="316">
        <v>998.21068439622377</v>
      </c>
      <c r="D58" s="316">
        <v>251.17172582910459</v>
      </c>
      <c r="E58" s="316">
        <v>525.45489397046595</v>
      </c>
      <c r="G58" s="316"/>
      <c r="H58" s="316"/>
      <c r="I58" s="316"/>
    </row>
  </sheetData>
  <mergeCells count="20">
    <mergeCell ref="B1:H1"/>
    <mergeCell ref="B2:H2"/>
    <mergeCell ref="B3:H3"/>
    <mergeCell ref="B4:H4"/>
    <mergeCell ref="C42:F42"/>
    <mergeCell ref="G42:I42"/>
    <mergeCell ref="B28:B30"/>
    <mergeCell ref="D28:D30"/>
    <mergeCell ref="C29:C30"/>
    <mergeCell ref="B31:B33"/>
    <mergeCell ref="D31:D33"/>
    <mergeCell ref="C32:C33"/>
    <mergeCell ref="J42:N42"/>
    <mergeCell ref="B37:N37"/>
    <mergeCell ref="C39:F39"/>
    <mergeCell ref="G39:J39"/>
    <mergeCell ref="K39:N39"/>
    <mergeCell ref="C41:G41"/>
    <mergeCell ref="H41:I41"/>
    <mergeCell ref="J41:M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B2:P75"/>
  <sheetViews>
    <sheetView workbookViewId="0">
      <selection activeCell="L18" sqref="L18"/>
    </sheetView>
    <sheetView workbookViewId="1">
      <selection activeCell="H26" sqref="H26"/>
    </sheetView>
  </sheetViews>
  <sheetFormatPr defaultRowHeight="12.75" x14ac:dyDescent="0.2"/>
  <cols>
    <col min="1" max="1" width="9" style="35"/>
    <col min="2" max="2" width="11.25" style="35" customWidth="1"/>
    <col min="3" max="3" width="17.25" style="42" customWidth="1"/>
    <col min="4" max="4" width="13.125" style="35" customWidth="1"/>
    <col min="5" max="5" width="11.5" style="35" customWidth="1"/>
    <col min="6" max="6" width="12" style="35" customWidth="1"/>
    <col min="7" max="7" width="10.875" style="35" customWidth="1"/>
    <col min="8" max="9" width="11" style="35" customWidth="1"/>
    <col min="10" max="10" width="11.125" style="35" customWidth="1"/>
    <col min="11" max="12" width="10.875" style="35" customWidth="1"/>
    <col min="13" max="13" width="10" style="35" customWidth="1"/>
    <col min="14" max="14" width="11.75" style="35" customWidth="1"/>
    <col min="15" max="15" width="6.25" style="35" customWidth="1"/>
    <col min="16" max="16384" width="9" style="35"/>
  </cols>
  <sheetData>
    <row r="2" spans="2:16" x14ac:dyDescent="0.2">
      <c r="B2" s="40" t="s">
        <v>383</v>
      </c>
      <c r="D2" s="43"/>
      <c r="E2" s="43">
        <v>1</v>
      </c>
    </row>
    <row r="3" spans="2:16" x14ac:dyDescent="0.2">
      <c r="B3" s="43"/>
      <c r="C3" s="41"/>
    </row>
    <row r="4" spans="2:16" x14ac:dyDescent="0.2">
      <c r="B4" s="41"/>
      <c r="C4" s="41"/>
    </row>
    <row r="5" spans="2:16" ht="14.25" customHeight="1" x14ac:dyDescent="0.2">
      <c r="B5" s="66" t="s">
        <v>267</v>
      </c>
      <c r="C5" s="66"/>
      <c r="D5" s="66"/>
      <c r="E5" s="66"/>
      <c r="F5" s="67">
        <v>2021</v>
      </c>
      <c r="G5" s="788">
        <v>2040</v>
      </c>
      <c r="H5" s="788"/>
      <c r="I5" s="788"/>
      <c r="J5" s="788"/>
      <c r="K5" s="788"/>
      <c r="L5" s="788" t="s">
        <v>294</v>
      </c>
      <c r="M5" s="788"/>
      <c r="N5" s="788"/>
    </row>
    <row r="6" spans="2:16" ht="25.5" x14ac:dyDescent="0.2">
      <c r="B6" s="788" t="s">
        <v>280</v>
      </c>
      <c r="C6" s="788"/>
      <c r="D6" s="788"/>
      <c r="E6" s="788"/>
      <c r="F6" s="67" t="s">
        <v>281</v>
      </c>
      <c r="G6" s="67" t="s">
        <v>282</v>
      </c>
      <c r="H6" s="67" t="s">
        <v>283</v>
      </c>
      <c r="I6" s="66" t="s">
        <v>284</v>
      </c>
      <c r="J6" s="255" t="s">
        <v>293</v>
      </c>
      <c r="K6" s="255" t="s">
        <v>292</v>
      </c>
      <c r="L6" s="256" t="s">
        <v>282</v>
      </c>
      <c r="M6" s="256" t="s">
        <v>283</v>
      </c>
      <c r="N6" s="66" t="s">
        <v>284</v>
      </c>
    </row>
    <row r="7" spans="2:16" x14ac:dyDescent="0.2">
      <c r="B7" s="789" t="s">
        <v>268</v>
      </c>
      <c r="C7" s="789"/>
      <c r="D7" s="789"/>
      <c r="E7" s="789"/>
      <c r="F7" s="257">
        <v>10440</v>
      </c>
      <c r="G7" s="257">
        <v>23300</v>
      </c>
      <c r="H7" s="257">
        <v>24418</v>
      </c>
      <c r="I7" s="258">
        <f t="shared" ref="I7:I17" si="0">H7-G7</f>
        <v>1118</v>
      </c>
      <c r="J7" s="66">
        <f t="shared" ref="J7:J17" si="1">((G7-$F7)/$F7)/($G$5-$F$5)</f>
        <v>6.483161927808026E-2</v>
      </c>
      <c r="K7" s="66">
        <f t="shared" ref="K7:K17" si="2">((H7-$F7)/$F7)/($G$5-$F$5)</f>
        <v>7.0467836257309943E-2</v>
      </c>
      <c r="L7" s="257">
        <f t="shared" ref="L7:L17" si="3">G7+(G7*J7*4/2)</f>
        <v>26321.153458358542</v>
      </c>
      <c r="M7" s="257">
        <f t="shared" ref="M7:M17" si="4">H7+(H7*K7*4/2)</f>
        <v>27859.36725146199</v>
      </c>
      <c r="N7" s="258">
        <f t="shared" ref="N7:N17" si="5">M7-L7</f>
        <v>1538.2137931034486</v>
      </c>
    </row>
    <row r="8" spans="2:16" x14ac:dyDescent="0.2">
      <c r="B8" s="789" t="s">
        <v>269</v>
      </c>
      <c r="C8" s="789"/>
      <c r="D8" s="789"/>
      <c r="E8" s="789"/>
      <c r="F8" s="257">
        <v>11520</v>
      </c>
      <c r="G8" s="257">
        <v>33300</v>
      </c>
      <c r="H8" s="257">
        <v>34418</v>
      </c>
      <c r="I8" s="258">
        <f t="shared" si="0"/>
        <v>1118</v>
      </c>
      <c r="J8" s="66">
        <f t="shared" si="1"/>
        <v>9.9506578947368418E-2</v>
      </c>
      <c r="K8" s="66">
        <f t="shared" si="2"/>
        <v>0.10461440058479532</v>
      </c>
      <c r="L8" s="257">
        <f t="shared" si="3"/>
        <v>39927.138157894733</v>
      </c>
      <c r="M8" s="257">
        <f t="shared" si="4"/>
        <v>41619.23687865497</v>
      </c>
      <c r="N8" s="258">
        <f t="shared" si="5"/>
        <v>1692.0987207602375</v>
      </c>
    </row>
    <row r="9" spans="2:16" x14ac:dyDescent="0.2">
      <c r="B9" s="789" t="s">
        <v>270</v>
      </c>
      <c r="C9" s="789"/>
      <c r="D9" s="789"/>
      <c r="E9" s="789"/>
      <c r="F9" s="257">
        <v>12640</v>
      </c>
      <c r="G9" s="257">
        <v>36900</v>
      </c>
      <c r="H9" s="257">
        <v>38020</v>
      </c>
      <c r="I9" s="258">
        <f t="shared" si="0"/>
        <v>1120</v>
      </c>
      <c r="J9" s="66">
        <f t="shared" si="1"/>
        <v>0.1010159893404397</v>
      </c>
      <c r="K9" s="66">
        <f t="shared" si="2"/>
        <v>0.10567954696868753</v>
      </c>
      <c r="L9" s="257">
        <f t="shared" si="3"/>
        <v>44354.98001332445</v>
      </c>
      <c r="M9" s="257">
        <f t="shared" si="4"/>
        <v>46055.872751499002</v>
      </c>
      <c r="N9" s="258">
        <f t="shared" si="5"/>
        <v>1700.8927381745525</v>
      </c>
    </row>
    <row r="10" spans="2:16" x14ac:dyDescent="0.2">
      <c r="B10" s="789" t="s">
        <v>271</v>
      </c>
      <c r="C10" s="789"/>
      <c r="D10" s="789"/>
      <c r="E10" s="789"/>
      <c r="F10" s="257">
        <v>13850</v>
      </c>
      <c r="G10" s="257">
        <v>33200</v>
      </c>
      <c r="H10" s="257">
        <v>33928</v>
      </c>
      <c r="I10" s="258">
        <f t="shared" si="0"/>
        <v>728</v>
      </c>
      <c r="J10" s="66">
        <f t="shared" si="1"/>
        <v>7.3532205966178987E-2</v>
      </c>
      <c r="K10" s="66">
        <f t="shared" si="2"/>
        <v>7.6298688960668826E-2</v>
      </c>
      <c r="L10" s="257">
        <f t="shared" si="3"/>
        <v>38082.538476154281</v>
      </c>
      <c r="M10" s="257">
        <f t="shared" si="4"/>
        <v>39105.323838115146</v>
      </c>
      <c r="N10" s="258">
        <f t="shared" si="5"/>
        <v>1022.785361960865</v>
      </c>
    </row>
    <row r="11" spans="2:16" x14ac:dyDescent="0.2">
      <c r="B11" s="789" t="s">
        <v>272</v>
      </c>
      <c r="C11" s="789"/>
      <c r="D11" s="789"/>
      <c r="E11" s="789"/>
      <c r="F11" s="257">
        <v>18490</v>
      </c>
      <c r="G11" s="257">
        <v>38400</v>
      </c>
      <c r="H11" s="257">
        <v>39128</v>
      </c>
      <c r="I11" s="258">
        <f t="shared" si="0"/>
        <v>728</v>
      </c>
      <c r="J11" s="66">
        <f t="shared" si="1"/>
        <v>5.667359312288292E-2</v>
      </c>
      <c r="K11" s="66">
        <f t="shared" si="2"/>
        <v>5.8745837010048103E-2</v>
      </c>
      <c r="L11" s="257">
        <f t="shared" si="3"/>
        <v>42752.531951837409</v>
      </c>
      <c r="M11" s="257">
        <f t="shared" si="4"/>
        <v>43725.214221058326</v>
      </c>
      <c r="N11" s="258">
        <f t="shared" si="5"/>
        <v>972.68226922091708</v>
      </c>
    </row>
    <row r="12" spans="2:16" x14ac:dyDescent="0.2">
      <c r="B12" s="789" t="s">
        <v>273</v>
      </c>
      <c r="C12" s="789"/>
      <c r="D12" s="789"/>
      <c r="E12" s="789"/>
      <c r="F12" s="257">
        <v>19000</v>
      </c>
      <c r="G12" s="257">
        <v>37800</v>
      </c>
      <c r="H12" s="257">
        <v>38528</v>
      </c>
      <c r="I12" s="258">
        <f t="shared" si="0"/>
        <v>728</v>
      </c>
      <c r="J12" s="66">
        <f t="shared" si="1"/>
        <v>5.2077562326869803E-2</v>
      </c>
      <c r="K12" s="66">
        <f t="shared" si="2"/>
        <v>5.4094182825484768E-2</v>
      </c>
      <c r="L12" s="257">
        <f t="shared" si="3"/>
        <v>41737.06371191136</v>
      </c>
      <c r="M12" s="257">
        <f t="shared" si="4"/>
        <v>42696.281351800557</v>
      </c>
      <c r="N12" s="258">
        <f t="shared" si="5"/>
        <v>959.21763988919702</v>
      </c>
    </row>
    <row r="13" spans="2:16" x14ac:dyDescent="0.2">
      <c r="B13" s="789" t="s">
        <v>274</v>
      </c>
      <c r="C13" s="789"/>
      <c r="D13" s="789"/>
      <c r="E13" s="789"/>
      <c r="F13" s="257">
        <v>24720</v>
      </c>
      <c r="G13" s="257">
        <v>45800</v>
      </c>
      <c r="H13" s="257">
        <v>46528</v>
      </c>
      <c r="I13" s="258">
        <f t="shared" si="0"/>
        <v>728</v>
      </c>
      <c r="J13" s="66">
        <f t="shared" si="1"/>
        <v>4.4881621529552038E-2</v>
      </c>
      <c r="K13" s="66">
        <f t="shared" si="2"/>
        <v>4.6431613013115311E-2</v>
      </c>
      <c r="L13" s="257">
        <f t="shared" si="3"/>
        <v>49911.156532106965</v>
      </c>
      <c r="M13" s="257">
        <f t="shared" si="4"/>
        <v>50848.740180548455</v>
      </c>
      <c r="N13" s="258">
        <f t="shared" si="5"/>
        <v>937.58364844149037</v>
      </c>
    </row>
    <row r="14" spans="2:16" x14ac:dyDescent="0.2">
      <c r="B14" s="789" t="s">
        <v>275</v>
      </c>
      <c r="C14" s="789"/>
      <c r="D14" s="789"/>
      <c r="E14" s="789"/>
      <c r="F14" s="257">
        <v>28750</v>
      </c>
      <c r="G14" s="257">
        <v>50400</v>
      </c>
      <c r="H14" s="257">
        <v>51128</v>
      </c>
      <c r="I14" s="258">
        <f t="shared" si="0"/>
        <v>728</v>
      </c>
      <c r="J14" s="66">
        <f t="shared" si="1"/>
        <v>3.963386727688787E-2</v>
      </c>
      <c r="K14" s="66">
        <f t="shared" si="2"/>
        <v>4.0966590389016018E-2</v>
      </c>
      <c r="L14" s="257">
        <f t="shared" si="3"/>
        <v>54395.093821510294</v>
      </c>
      <c r="M14" s="257">
        <f t="shared" si="4"/>
        <v>55317.07966681922</v>
      </c>
      <c r="N14" s="258">
        <f t="shared" si="5"/>
        <v>921.98584530892549</v>
      </c>
    </row>
    <row r="15" spans="2:16" x14ac:dyDescent="0.2">
      <c r="B15" s="789" t="s">
        <v>276</v>
      </c>
      <c r="C15" s="789"/>
      <c r="D15" s="789"/>
      <c r="E15" s="789"/>
      <c r="F15" s="257">
        <v>27600</v>
      </c>
      <c r="G15" s="257">
        <v>48300</v>
      </c>
      <c r="H15" s="257">
        <v>48711</v>
      </c>
      <c r="I15" s="258">
        <f t="shared" si="0"/>
        <v>411</v>
      </c>
      <c r="J15" s="66">
        <f t="shared" si="1"/>
        <v>3.9473684210526314E-2</v>
      </c>
      <c r="K15" s="66">
        <f t="shared" si="2"/>
        <v>4.0257437070938214E-2</v>
      </c>
      <c r="L15" s="257">
        <f t="shared" si="3"/>
        <v>52113.15789473684</v>
      </c>
      <c r="M15" s="257">
        <f t="shared" si="4"/>
        <v>52632.96003432494</v>
      </c>
      <c r="N15" s="258">
        <f t="shared" si="5"/>
        <v>519.80213958810054</v>
      </c>
    </row>
    <row r="16" spans="2:16" x14ac:dyDescent="0.2">
      <c r="B16" s="790" t="s">
        <v>277</v>
      </c>
      <c r="C16" s="790"/>
      <c r="D16" s="790"/>
      <c r="E16" s="790"/>
      <c r="F16" s="259">
        <v>1930</v>
      </c>
      <c r="G16" s="259">
        <v>12000</v>
      </c>
      <c r="H16" s="259">
        <v>13220</v>
      </c>
      <c r="I16" s="260">
        <f t="shared" si="0"/>
        <v>1220</v>
      </c>
      <c r="J16" s="252">
        <f t="shared" si="1"/>
        <v>0.27461139896373055</v>
      </c>
      <c r="K16" s="252">
        <f t="shared" si="2"/>
        <v>0.30788110171802563</v>
      </c>
      <c r="L16" s="259">
        <f t="shared" si="3"/>
        <v>18590.673575129535</v>
      </c>
      <c r="M16" s="259">
        <f t="shared" si="4"/>
        <v>21360.376329424598</v>
      </c>
      <c r="N16" s="260">
        <f t="shared" si="5"/>
        <v>2769.7027542950636</v>
      </c>
      <c r="O16" s="35" t="s">
        <v>297</v>
      </c>
      <c r="P16" s="265">
        <v>0.38</v>
      </c>
    </row>
    <row r="17" spans="2:14" x14ac:dyDescent="0.2">
      <c r="B17" s="791" t="s">
        <v>278</v>
      </c>
      <c r="C17" s="791"/>
      <c r="D17" s="791"/>
      <c r="E17" s="791"/>
      <c r="F17" s="315">
        <v>3580</v>
      </c>
      <c r="G17" s="267">
        <v>4200</v>
      </c>
      <c r="H17" s="267">
        <v>5736</v>
      </c>
      <c r="I17" s="268">
        <f t="shared" si="0"/>
        <v>1536</v>
      </c>
      <c r="J17" s="269">
        <f t="shared" si="1"/>
        <v>9.11496618641576E-3</v>
      </c>
      <c r="K17" s="269">
        <f t="shared" si="2"/>
        <v>3.1696559835342544E-2</v>
      </c>
      <c r="L17" s="267">
        <f t="shared" si="3"/>
        <v>4276.5657159658922</v>
      </c>
      <c r="M17" s="267">
        <f t="shared" si="4"/>
        <v>6099.6229344310495</v>
      </c>
      <c r="N17" s="268">
        <f t="shared" si="5"/>
        <v>1823.0572184651573</v>
      </c>
    </row>
    <row r="18" spans="2:14" s="262" customFormat="1" x14ac:dyDescent="0.2">
      <c r="B18" s="786" t="s">
        <v>301</v>
      </c>
      <c r="C18" s="786"/>
      <c r="D18" s="786"/>
      <c r="E18" s="786"/>
      <c r="F18" s="259">
        <f>F16*$E$27</f>
        <v>2102.8958333333335</v>
      </c>
      <c r="G18" s="263">
        <f>G16*$E$27</f>
        <v>13075</v>
      </c>
      <c r="H18" s="263">
        <f>H16*$E$27</f>
        <v>14404.291666666666</v>
      </c>
      <c r="I18" s="66"/>
      <c r="J18" s="66"/>
      <c r="K18" s="66"/>
      <c r="L18" s="259">
        <f>L16*$E$27</f>
        <v>20256.088082901555</v>
      </c>
      <c r="M18" s="259">
        <f>M16*$E$27</f>
        <v>23273.910042268886</v>
      </c>
      <c r="N18" s="66"/>
    </row>
    <row r="19" spans="2:14" s="262" customFormat="1" x14ac:dyDescent="0.2">
      <c r="B19" s="786" t="s">
        <v>302</v>
      </c>
      <c r="C19" s="786"/>
      <c r="D19" s="786"/>
      <c r="E19" s="786"/>
      <c r="F19" s="259">
        <f>F18/$H$27</f>
        <v>210.28958333333335</v>
      </c>
      <c r="G19" s="263">
        <f>G18/$H$27</f>
        <v>1307.5</v>
      </c>
      <c r="H19" s="263">
        <f>H18/$H$28</f>
        <v>411.55119047619047</v>
      </c>
      <c r="I19" s="66"/>
      <c r="J19" s="66"/>
      <c r="K19" s="66"/>
      <c r="L19" s="259">
        <f>L18/$H$27</f>
        <v>2025.6088082901556</v>
      </c>
      <c r="M19" s="259">
        <f>M18/$H$28</f>
        <v>664.96885835053956</v>
      </c>
      <c r="N19" s="66"/>
    </row>
    <row r="20" spans="2:14" s="262" customFormat="1" x14ac:dyDescent="0.2">
      <c r="B20" s="786" t="s">
        <v>303</v>
      </c>
      <c r="C20" s="786"/>
      <c r="D20" s="786"/>
      <c r="E20" s="786"/>
      <c r="F20" s="259">
        <f>F16*H16/G16</f>
        <v>2126.2166666666667</v>
      </c>
      <c r="G20" s="263"/>
      <c r="H20" s="263"/>
      <c r="I20" s="66"/>
      <c r="J20" s="66"/>
      <c r="K20" s="66"/>
      <c r="L20" s="263"/>
      <c r="M20" s="263"/>
      <c r="N20" s="66"/>
    </row>
    <row r="21" spans="2:14" s="262" customFormat="1" x14ac:dyDescent="0.2">
      <c r="B21" s="786" t="s">
        <v>304</v>
      </c>
      <c r="C21" s="786"/>
      <c r="D21" s="786"/>
      <c r="E21" s="786"/>
      <c r="F21" s="259">
        <f>F20*E28</f>
        <v>2214.4063352272728</v>
      </c>
      <c r="G21" s="263"/>
      <c r="H21" s="263"/>
      <c r="I21" s="66"/>
      <c r="J21" s="66"/>
      <c r="K21" s="66"/>
      <c r="L21" s="263"/>
      <c r="M21" s="263"/>
      <c r="N21" s="66"/>
    </row>
    <row r="22" spans="2:14" s="262" customFormat="1" x14ac:dyDescent="0.2">
      <c r="B22" s="786" t="s">
        <v>305</v>
      </c>
      <c r="C22" s="786"/>
      <c r="D22" s="786"/>
      <c r="E22" s="786"/>
      <c r="F22" s="259">
        <f>F21/H28</f>
        <v>63.26875243506494</v>
      </c>
      <c r="G22" s="263"/>
      <c r="H22" s="263"/>
      <c r="I22" s="66"/>
      <c r="J22" s="66"/>
      <c r="K22" s="66"/>
      <c r="L22" s="263"/>
      <c r="M22" s="263"/>
      <c r="N22" s="66"/>
    </row>
    <row r="23" spans="2:14" s="262" customFormat="1" x14ac:dyDescent="0.2">
      <c r="B23" s="266"/>
      <c r="C23" s="266"/>
      <c r="D23" s="266"/>
      <c r="E23" s="266"/>
      <c r="F23" s="261"/>
      <c r="G23" s="261"/>
      <c r="H23" s="261"/>
      <c r="I23" s="35"/>
      <c r="J23" s="35"/>
      <c r="K23" s="35"/>
      <c r="L23" s="35"/>
      <c r="M23" s="35"/>
      <c r="N23" s="35"/>
    </row>
    <row r="24" spans="2:14" x14ac:dyDescent="0.2">
      <c r="B24" s="35" t="s">
        <v>279</v>
      </c>
      <c r="C24" s="35"/>
      <c r="D24" s="44"/>
      <c r="G24" s="42"/>
      <c r="H24" s="42"/>
      <c r="K24" s="42"/>
    </row>
    <row r="25" spans="2:14" x14ac:dyDescent="0.2">
      <c r="C25" s="35"/>
      <c r="D25" s="44"/>
      <c r="G25" s="42"/>
      <c r="H25" s="42"/>
      <c r="K25" s="42"/>
    </row>
    <row r="26" spans="2:14" ht="36" customHeight="1" x14ac:dyDescent="0.25">
      <c r="B26" s="787" t="s">
        <v>299</v>
      </c>
      <c r="C26" s="787"/>
      <c r="D26" t="s">
        <v>210</v>
      </c>
      <c r="E26" t="s">
        <v>211</v>
      </c>
      <c r="F26" t="s">
        <v>212</v>
      </c>
      <c r="G26" t="s">
        <v>298</v>
      </c>
      <c r="H26" s="35" t="s">
        <v>300</v>
      </c>
    </row>
    <row r="27" spans="2:14" ht="15.75" x14ac:dyDescent="0.25">
      <c r="C27" t="s">
        <v>203</v>
      </c>
      <c r="D27">
        <f>5753</f>
        <v>5753</v>
      </c>
      <c r="E27">
        <f>D27/5280</f>
        <v>1.0895833333333333</v>
      </c>
      <c r="F27">
        <f>E27*2</f>
        <v>2.1791666666666667</v>
      </c>
      <c r="G27" t="s">
        <v>205</v>
      </c>
      <c r="H27" s="42">
        <v>10</v>
      </c>
    </row>
    <row r="28" spans="2:14" ht="15.75" x14ac:dyDescent="0.25">
      <c r="B28"/>
      <c r="C28" t="s">
        <v>100</v>
      </c>
      <c r="D28">
        <v>5499</v>
      </c>
      <c r="E28">
        <f>D28/5280</f>
        <v>1.0414772727272728</v>
      </c>
      <c r="F28">
        <f>E28*2</f>
        <v>2.0829545454545455</v>
      </c>
      <c r="G28" t="s">
        <v>206</v>
      </c>
      <c r="H28" s="42">
        <v>35</v>
      </c>
    </row>
    <row r="44" spans="3:13" x14ac:dyDescent="0.2">
      <c r="C44" s="35"/>
      <c r="G44" s="42"/>
    </row>
    <row r="45" spans="3:13" x14ac:dyDescent="0.2">
      <c r="C45" s="35"/>
      <c r="G45" s="42"/>
    </row>
    <row r="46" spans="3:13" x14ac:dyDescent="0.2">
      <c r="C46" s="35"/>
    </row>
    <row r="48" spans="3:13" x14ac:dyDescent="0.2">
      <c r="H48" s="42"/>
      <c r="I48" s="42"/>
      <c r="J48" s="42"/>
      <c r="K48" s="42"/>
      <c r="L48" s="42"/>
      <c r="M48" s="42"/>
    </row>
    <row r="49" spans="7:13" x14ac:dyDescent="0.2">
      <c r="H49" s="42"/>
      <c r="I49" s="42"/>
      <c r="J49" s="42"/>
      <c r="K49" s="42"/>
      <c r="L49" s="42"/>
      <c r="M49" s="42"/>
    </row>
    <row r="50" spans="7:13" x14ac:dyDescent="0.2">
      <c r="G50" s="42"/>
      <c r="H50" s="42"/>
      <c r="I50" s="42"/>
      <c r="J50" s="42"/>
      <c r="K50" s="42"/>
      <c r="L50" s="42"/>
      <c r="M50" s="42"/>
    </row>
    <row r="51" spans="7:13" x14ac:dyDescent="0.2">
      <c r="G51" s="42"/>
      <c r="H51" s="42"/>
      <c r="I51" s="42"/>
      <c r="J51" s="42"/>
      <c r="K51" s="42"/>
      <c r="L51" s="42"/>
      <c r="M51" s="42"/>
    </row>
    <row r="52" spans="7:13" x14ac:dyDescent="0.2">
      <c r="G52" s="42"/>
      <c r="H52" s="42"/>
      <c r="I52" s="42"/>
      <c r="J52" s="42"/>
      <c r="K52" s="42"/>
      <c r="L52" s="42"/>
      <c r="M52" s="42"/>
    </row>
    <row r="53" spans="7:13" x14ac:dyDescent="0.2">
      <c r="G53" s="42"/>
      <c r="H53" s="42"/>
      <c r="I53" s="42"/>
      <c r="J53" s="42"/>
      <c r="K53" s="42"/>
      <c r="L53" s="42"/>
      <c r="M53" s="87"/>
    </row>
    <row r="54" spans="7:13" x14ac:dyDescent="0.2">
      <c r="G54" s="42"/>
      <c r="H54" s="42"/>
      <c r="I54" s="42"/>
      <c r="J54" s="42"/>
      <c r="K54" s="42"/>
      <c r="L54" s="42"/>
      <c r="M54" s="87"/>
    </row>
    <row r="55" spans="7:13" x14ac:dyDescent="0.2">
      <c r="G55" s="42"/>
    </row>
    <row r="56" spans="7:13" x14ac:dyDescent="0.2">
      <c r="G56" s="42"/>
    </row>
    <row r="75" spans="4:4" x14ac:dyDescent="0.2">
      <c r="D75" s="41"/>
    </row>
  </sheetData>
  <mergeCells count="20">
    <mergeCell ref="L5:N5"/>
    <mergeCell ref="B18:E18"/>
    <mergeCell ref="B6:E6"/>
    <mergeCell ref="G5:K5"/>
    <mergeCell ref="B7:E7"/>
    <mergeCell ref="B8:E8"/>
    <mergeCell ref="B9:E9"/>
    <mergeCell ref="B10:E10"/>
    <mergeCell ref="B11:E11"/>
    <mergeCell ref="B12:E12"/>
    <mergeCell ref="B13:E13"/>
    <mergeCell ref="B14:E14"/>
    <mergeCell ref="B15:E15"/>
    <mergeCell ref="B16:E16"/>
    <mergeCell ref="B17:E17"/>
    <mergeCell ref="B19:E19"/>
    <mergeCell ref="B26:C26"/>
    <mergeCell ref="B20:E20"/>
    <mergeCell ref="B21:E21"/>
    <mergeCell ref="B22:E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C1:U93"/>
  <sheetViews>
    <sheetView workbookViewId="0">
      <selection activeCell="H5" sqref="H5:L12"/>
    </sheetView>
    <sheetView topLeftCell="A73" workbookViewId="1">
      <selection activeCell="J93" sqref="J93"/>
    </sheetView>
  </sheetViews>
  <sheetFormatPr defaultRowHeight="15.75" x14ac:dyDescent="0.25"/>
  <cols>
    <col min="2" max="2" width="11.375" customWidth="1"/>
    <col min="3" max="3" width="18.5" customWidth="1"/>
    <col min="4" max="4" width="14.75" customWidth="1"/>
    <col min="5" max="5" width="12" customWidth="1"/>
    <col min="6" max="6" width="14.125" customWidth="1"/>
    <col min="7" max="7" width="12" customWidth="1"/>
    <col min="8" max="8" width="15.75" customWidth="1"/>
    <col min="9" max="11" width="12" customWidth="1"/>
    <col min="12" max="12" width="13.625" customWidth="1"/>
    <col min="13" max="13" width="13.375" customWidth="1"/>
    <col min="14" max="14" width="13.5" customWidth="1"/>
    <col min="15" max="15" width="13.875" customWidth="1"/>
    <col min="16" max="18" width="12.875" customWidth="1"/>
    <col min="19" max="20" width="12.125" customWidth="1"/>
    <col min="21" max="21" width="10.25" customWidth="1"/>
  </cols>
  <sheetData>
    <row r="1" spans="3:15" x14ac:dyDescent="0.25">
      <c r="C1" s="792" t="s">
        <v>334</v>
      </c>
      <c r="D1" s="792"/>
      <c r="E1" s="792"/>
      <c r="F1" s="792"/>
      <c r="G1" s="275"/>
      <c r="H1" s="275"/>
      <c r="I1" s="275"/>
      <c r="J1" s="275"/>
      <c r="K1" s="275"/>
      <c r="L1" s="275"/>
      <c r="M1" s="275"/>
      <c r="N1" s="275"/>
      <c r="O1" s="275"/>
    </row>
    <row r="2" spans="3:15" ht="15.75" customHeight="1" x14ac:dyDescent="0.25">
      <c r="C2" s="26" t="s">
        <v>34</v>
      </c>
      <c r="D2" s="274">
        <v>2020</v>
      </c>
    </row>
    <row r="3" spans="3:15" ht="15.75" customHeight="1" x14ac:dyDescent="0.25">
      <c r="C3" s="282" t="s">
        <v>384</v>
      </c>
      <c r="D3" s="274"/>
    </row>
    <row r="4" spans="3:15" ht="15.75" customHeight="1" thickBot="1" x14ac:dyDescent="0.3"/>
    <row r="5" spans="3:15" ht="32.25" x14ac:dyDescent="0.3">
      <c r="C5" s="287"/>
      <c r="D5" s="277" t="s">
        <v>16</v>
      </c>
      <c r="E5" s="283" t="s">
        <v>35</v>
      </c>
      <c r="F5" s="74" t="s">
        <v>36</v>
      </c>
      <c r="G5" s="274"/>
      <c r="H5" s="1"/>
      <c r="I5" s="1"/>
      <c r="J5" s="3"/>
      <c r="K5" s="6"/>
    </row>
    <row r="6" spans="3:15" ht="16.5" thickBot="1" x14ac:dyDescent="0.3">
      <c r="C6" s="288" t="s">
        <v>7</v>
      </c>
      <c r="D6" s="286">
        <f>1000000*Notes!C53</f>
        <v>360983582.26007932</v>
      </c>
      <c r="E6" s="284">
        <f>1000000*Notes!D53</f>
        <v>90795984.861343205</v>
      </c>
      <c r="F6" s="285">
        <f>1000000*Notes!E53</f>
        <v>189984253.78077814</v>
      </c>
      <c r="H6" s="1"/>
      <c r="I6" s="5"/>
      <c r="J6" s="5"/>
      <c r="K6" s="5"/>
    </row>
    <row r="7" spans="3:15" x14ac:dyDescent="0.25">
      <c r="H7" s="1"/>
      <c r="I7" s="316"/>
      <c r="J7" s="316"/>
      <c r="K7" s="316"/>
    </row>
    <row r="8" spans="3:15" ht="18.75" x14ac:dyDescent="0.25">
      <c r="C8" s="327" t="s">
        <v>385</v>
      </c>
      <c r="D8" s="328"/>
      <c r="E8" s="329"/>
      <c r="F8" s="329"/>
      <c r="G8" s="329"/>
      <c r="H8" s="330"/>
      <c r="I8" s="330"/>
      <c r="J8" s="329"/>
      <c r="K8" s="330"/>
      <c r="L8" s="329"/>
      <c r="M8" s="331"/>
    </row>
    <row r="9" spans="3:15" x14ac:dyDescent="0.25">
      <c r="C9" s="332"/>
      <c r="D9" s="333"/>
      <c r="E9" s="334"/>
      <c r="F9" s="334"/>
      <c r="G9" s="334"/>
      <c r="H9" s="335"/>
      <c r="I9" s="336" t="s">
        <v>386</v>
      </c>
      <c r="J9" s="337"/>
      <c r="K9" s="338"/>
      <c r="L9" s="339"/>
      <c r="M9" s="340" t="s">
        <v>387</v>
      </c>
    </row>
    <row r="10" spans="3:15" x14ac:dyDescent="0.25">
      <c r="C10" s="341" t="s">
        <v>388</v>
      </c>
      <c r="D10" s="338"/>
      <c r="E10" s="342"/>
      <c r="F10" s="342"/>
      <c r="G10" s="343"/>
      <c r="H10" s="333"/>
      <c r="I10" s="344" t="s">
        <v>389</v>
      </c>
      <c r="J10" s="334"/>
      <c r="K10" s="345" t="s">
        <v>390</v>
      </c>
      <c r="L10" s="346"/>
      <c r="M10" s="340"/>
    </row>
    <row r="11" spans="3:15" x14ac:dyDescent="0.25">
      <c r="C11" s="347" t="s">
        <v>391</v>
      </c>
      <c r="D11" s="333"/>
      <c r="E11" s="348" t="s">
        <v>392</v>
      </c>
      <c r="F11" s="348" t="s">
        <v>393</v>
      </c>
      <c r="G11" s="334"/>
      <c r="H11" s="334"/>
      <c r="I11" s="349" t="s">
        <v>394</v>
      </c>
      <c r="J11" s="337"/>
      <c r="K11" s="338"/>
      <c r="L11" s="343"/>
      <c r="M11" s="340"/>
    </row>
    <row r="12" spans="3:15" x14ac:dyDescent="0.25">
      <c r="C12" s="350"/>
      <c r="D12" s="334"/>
      <c r="E12" s="334"/>
      <c r="F12" s="334"/>
      <c r="G12" s="334"/>
      <c r="H12" s="334"/>
      <c r="I12" s="334"/>
      <c r="J12" s="334"/>
      <c r="K12" s="334"/>
      <c r="L12" s="334"/>
      <c r="M12" s="340"/>
    </row>
    <row r="13" spans="3:15" x14ac:dyDescent="0.25">
      <c r="C13" s="341" t="s">
        <v>395</v>
      </c>
      <c r="D13" s="338"/>
      <c r="E13" s="342"/>
      <c r="F13" s="342"/>
      <c r="G13" s="339"/>
      <c r="H13" s="334" t="s">
        <v>396</v>
      </c>
      <c r="I13" s="349" t="s">
        <v>397</v>
      </c>
      <c r="J13" s="337"/>
      <c r="K13" s="338"/>
      <c r="L13" s="343"/>
      <c r="M13" s="340"/>
    </row>
    <row r="14" spans="3:15" x14ac:dyDescent="0.25">
      <c r="C14" s="351" t="s">
        <v>398</v>
      </c>
      <c r="D14" s="352"/>
      <c r="E14" s="353" t="s">
        <v>399</v>
      </c>
      <c r="F14" s="353" t="s">
        <v>390</v>
      </c>
      <c r="G14" s="354"/>
      <c r="H14" s="354"/>
      <c r="I14" s="355" t="s">
        <v>400</v>
      </c>
      <c r="J14" s="356" t="s">
        <v>401</v>
      </c>
      <c r="K14" s="357" t="s">
        <v>402</v>
      </c>
      <c r="L14" s="358"/>
      <c r="M14" s="359"/>
    </row>
    <row r="16" spans="3:15" x14ac:dyDescent="0.25">
      <c r="C16" t="s">
        <v>403</v>
      </c>
    </row>
    <row r="18" spans="3:21" x14ac:dyDescent="0.25">
      <c r="C18" s="360"/>
      <c r="D18" s="361" t="s">
        <v>404</v>
      </c>
      <c r="E18" s="362"/>
      <c r="F18" s="361" t="s">
        <v>405</v>
      </c>
      <c r="G18" s="362"/>
      <c r="H18" s="361" t="s">
        <v>426</v>
      </c>
      <c r="I18" s="362"/>
      <c r="J18" s="361" t="s">
        <v>406</v>
      </c>
      <c r="K18" s="362"/>
      <c r="L18" s="361" t="s">
        <v>407</v>
      </c>
      <c r="M18" s="362"/>
      <c r="N18" s="361" t="s">
        <v>408</v>
      </c>
      <c r="O18" s="362"/>
      <c r="P18" s="363" t="s">
        <v>426</v>
      </c>
      <c r="Q18" s="363" t="s">
        <v>409</v>
      </c>
      <c r="R18" s="364"/>
      <c r="S18" s="365"/>
      <c r="T18" s="366"/>
      <c r="U18" s="367" t="s">
        <v>410</v>
      </c>
    </row>
    <row r="19" spans="3:21" x14ac:dyDescent="0.25">
      <c r="C19" s="368"/>
      <c r="D19" s="369" t="s">
        <v>411</v>
      </c>
      <c r="E19" s="370"/>
      <c r="F19" s="371" t="s">
        <v>412</v>
      </c>
      <c r="G19" s="370"/>
      <c r="H19" s="371" t="s">
        <v>413</v>
      </c>
      <c r="I19" s="370"/>
      <c r="J19" s="372" t="s">
        <v>414</v>
      </c>
      <c r="K19" s="373"/>
      <c r="L19" s="374" t="s">
        <v>415</v>
      </c>
      <c r="M19" s="370"/>
      <c r="N19" s="375" t="s">
        <v>416</v>
      </c>
      <c r="O19" s="373"/>
      <c r="P19" s="376" t="s">
        <v>413</v>
      </c>
      <c r="Q19" s="376" t="s">
        <v>417</v>
      </c>
      <c r="R19" s="377"/>
      <c r="S19" s="378"/>
      <c r="T19" s="366"/>
      <c r="U19" s="376" t="s">
        <v>415</v>
      </c>
    </row>
    <row r="20" spans="3:21" x14ac:dyDescent="0.25">
      <c r="C20" s="379" t="s">
        <v>31</v>
      </c>
      <c r="D20" s="380"/>
      <c r="E20" s="381"/>
      <c r="F20" s="380"/>
      <c r="G20" s="381"/>
      <c r="H20" s="380"/>
      <c r="I20" s="381"/>
      <c r="J20" s="380"/>
      <c r="K20" s="381"/>
      <c r="L20" s="380"/>
      <c r="M20" s="381"/>
      <c r="N20" s="380"/>
      <c r="O20" s="381"/>
      <c r="P20" s="382" t="s">
        <v>418</v>
      </c>
      <c r="Q20" s="383" t="s">
        <v>419</v>
      </c>
      <c r="R20" s="384" t="s">
        <v>420</v>
      </c>
      <c r="S20" s="385" t="s">
        <v>421</v>
      </c>
      <c r="T20" s="386"/>
      <c r="U20" s="387" t="s">
        <v>419</v>
      </c>
    </row>
    <row r="21" spans="3:21" x14ac:dyDescent="0.25">
      <c r="C21" s="388"/>
      <c r="D21" s="389" t="s">
        <v>422</v>
      </c>
      <c r="E21" s="390" t="s">
        <v>100</v>
      </c>
      <c r="F21" s="389" t="s">
        <v>422</v>
      </c>
      <c r="G21" s="390" t="s">
        <v>100</v>
      </c>
      <c r="H21" s="389" t="s">
        <v>422</v>
      </c>
      <c r="I21" s="390" t="s">
        <v>100</v>
      </c>
      <c r="J21" s="389" t="s">
        <v>422</v>
      </c>
      <c r="K21" s="390" t="s">
        <v>100</v>
      </c>
      <c r="L21" s="389" t="s">
        <v>422</v>
      </c>
      <c r="M21" s="390" t="s">
        <v>100</v>
      </c>
      <c r="N21" s="380" t="s">
        <v>422</v>
      </c>
      <c r="O21" s="381" t="s">
        <v>100</v>
      </c>
      <c r="P21" s="391" t="s">
        <v>100</v>
      </c>
      <c r="Q21" s="391" t="s">
        <v>423</v>
      </c>
      <c r="R21" s="392" t="s">
        <v>424</v>
      </c>
      <c r="S21" s="393" t="s">
        <v>425</v>
      </c>
      <c r="T21" s="386"/>
      <c r="U21" s="394" t="s">
        <v>423</v>
      </c>
    </row>
    <row r="22" spans="3:21" x14ac:dyDescent="0.25">
      <c r="C22" s="395">
        <v>2020</v>
      </c>
      <c r="D22" s="396">
        <v>76650</v>
      </c>
      <c r="E22" s="397">
        <v>22995</v>
      </c>
      <c r="F22" s="398">
        <v>1.48</v>
      </c>
      <c r="G22" s="399">
        <v>1.48</v>
      </c>
      <c r="H22" s="396">
        <v>704450</v>
      </c>
      <c r="I22" s="397">
        <v>775990</v>
      </c>
      <c r="J22" s="400">
        <v>0.38</v>
      </c>
      <c r="K22" s="401">
        <v>0.38</v>
      </c>
      <c r="L22" s="396">
        <v>0</v>
      </c>
      <c r="M22" s="397">
        <v>0</v>
      </c>
      <c r="N22" s="402">
        <v>0.16103626943005181</v>
      </c>
      <c r="O22" s="403">
        <v>4.3857008466603946E-2</v>
      </c>
      <c r="P22" s="404">
        <v>704450</v>
      </c>
      <c r="Q22" s="405">
        <v>1914758.5972267166</v>
      </c>
      <c r="R22" s="406">
        <v>1914758.5972267166</v>
      </c>
      <c r="S22" s="407">
        <v>1914758.5972267166</v>
      </c>
      <c r="T22" s="408"/>
      <c r="U22" s="409">
        <v>82546.930385700849</v>
      </c>
    </row>
    <row r="23" spans="3:21" x14ac:dyDescent="0.25">
      <c r="C23" s="410">
        <v>2054</v>
      </c>
      <c r="D23" s="411">
        <v>739490</v>
      </c>
      <c r="E23" s="412">
        <v>242725</v>
      </c>
      <c r="F23" s="413">
        <v>1.48</v>
      </c>
      <c r="G23" s="414">
        <v>1.48</v>
      </c>
      <c r="H23" s="411">
        <v>6785715</v>
      </c>
      <c r="I23" s="412">
        <v>7796400</v>
      </c>
      <c r="J23" s="415">
        <v>0.38</v>
      </c>
      <c r="K23" s="416">
        <v>0.38</v>
      </c>
      <c r="L23" s="411">
        <v>0</v>
      </c>
      <c r="M23" s="412">
        <v>0</v>
      </c>
      <c r="N23" s="417">
        <v>0.16128664407509008</v>
      </c>
      <c r="O23" s="418">
        <v>4.6076779026217228E-2</v>
      </c>
      <c r="P23" s="419">
        <v>6785715</v>
      </c>
      <c r="Q23" s="420">
        <v>18134199.253076963</v>
      </c>
      <c r="R23" s="406">
        <v>18134199.253076963</v>
      </c>
      <c r="S23" s="407">
        <v>1817397.5657613089</v>
      </c>
      <c r="T23" s="408"/>
      <c r="U23" s="421">
        <v>781781.30941011233</v>
      </c>
    </row>
    <row r="24" spans="3:21" x14ac:dyDescent="0.25">
      <c r="C24" s="422"/>
      <c r="D24" s="423"/>
      <c r="E24" s="423"/>
      <c r="F24" s="424"/>
      <c r="G24" s="424"/>
      <c r="H24" s="424"/>
      <c r="I24" s="424"/>
      <c r="J24" s="425"/>
      <c r="K24" s="425"/>
      <c r="L24" s="426"/>
      <c r="M24" s="426"/>
      <c r="N24" s="427"/>
      <c r="O24" s="427"/>
      <c r="P24" s="427"/>
      <c r="Q24" s="428"/>
      <c r="R24" s="425"/>
      <c r="S24" s="429"/>
      <c r="T24" s="430"/>
      <c r="U24" s="431"/>
    </row>
    <row r="25" spans="3:21" x14ac:dyDescent="0.25">
      <c r="C25" s="432">
        <v>2025</v>
      </c>
      <c r="D25" s="433">
        <v>174126.47058823705</v>
      </c>
      <c r="E25" s="434">
        <v>55308.235294118524</v>
      </c>
      <c r="F25" s="435">
        <v>1.48</v>
      </c>
      <c r="G25" s="436">
        <v>1.48</v>
      </c>
      <c r="H25" s="433">
        <v>1598753.6764706373</v>
      </c>
      <c r="I25" s="434">
        <v>1808403.2352941036</v>
      </c>
      <c r="J25" s="437">
        <v>0.38</v>
      </c>
      <c r="K25" s="438">
        <v>0.38</v>
      </c>
      <c r="L25" s="433">
        <v>0</v>
      </c>
      <c r="M25" s="434">
        <v>0</v>
      </c>
      <c r="N25" s="435">
        <v>0.1611925465838476</v>
      </c>
      <c r="O25" s="436">
        <v>4.526434516247866E-2</v>
      </c>
      <c r="P25" s="434">
        <v>1598753.6764706373</v>
      </c>
      <c r="Q25" s="439">
        <v>4299161.4443608616</v>
      </c>
      <c r="R25" s="406">
        <v>4299161.4443608616</v>
      </c>
      <c r="S25" s="407">
        <v>3065242.69319834</v>
      </c>
      <c r="T25" s="408"/>
      <c r="U25" s="440">
        <v>185375.51553635299</v>
      </c>
    </row>
    <row r="26" spans="3:21" x14ac:dyDescent="0.25">
      <c r="C26" s="432">
        <v>2026</v>
      </c>
      <c r="D26" s="441">
        <v>193621.76470588148</v>
      </c>
      <c r="E26" s="442">
        <v>61770.882352940738</v>
      </c>
      <c r="F26" s="443">
        <v>1.48</v>
      </c>
      <c r="G26" s="444">
        <v>1.48</v>
      </c>
      <c r="H26" s="441">
        <v>1777614.4117647409</v>
      </c>
      <c r="I26" s="442">
        <v>2014885.8823529482</v>
      </c>
      <c r="J26" s="445">
        <v>0.38</v>
      </c>
      <c r="K26" s="446">
        <v>0.38</v>
      </c>
      <c r="L26" s="441">
        <v>0</v>
      </c>
      <c r="M26" s="442">
        <v>0</v>
      </c>
      <c r="N26" s="443">
        <v>0.16120493278416867</v>
      </c>
      <c r="O26" s="444">
        <v>4.5372746259749741E-2</v>
      </c>
      <c r="P26" s="442">
        <v>1777614.4117647409</v>
      </c>
      <c r="Q26" s="447">
        <v>4776171.5475426177</v>
      </c>
      <c r="R26" s="406">
        <v>4776171.5475426177</v>
      </c>
      <c r="S26" s="407">
        <v>3182564.7703187019</v>
      </c>
      <c r="T26" s="408"/>
      <c r="U26" s="448">
        <v>205941.23256648332</v>
      </c>
    </row>
    <row r="27" spans="3:21" x14ac:dyDescent="0.25">
      <c r="C27" s="432">
        <v>2027</v>
      </c>
      <c r="D27" s="441">
        <v>213117.05882353336</v>
      </c>
      <c r="E27" s="442">
        <v>68233.529411764815</v>
      </c>
      <c r="F27" s="443">
        <v>1.48</v>
      </c>
      <c r="G27" s="444">
        <v>1.48</v>
      </c>
      <c r="H27" s="441">
        <v>1956475.1470588446</v>
      </c>
      <c r="I27" s="442">
        <v>2221368.5294117332</v>
      </c>
      <c r="J27" s="445">
        <v>0.38</v>
      </c>
      <c r="K27" s="446">
        <v>0.38</v>
      </c>
      <c r="L27" s="441">
        <v>0</v>
      </c>
      <c r="M27" s="442">
        <v>0</v>
      </c>
      <c r="N27" s="443">
        <v>0.1612150542944478</v>
      </c>
      <c r="O27" s="444">
        <v>4.546099496428678E-2</v>
      </c>
      <c r="P27" s="442">
        <v>1956475.1470588446</v>
      </c>
      <c r="Q27" s="447">
        <v>5253196.7340537291</v>
      </c>
      <c r="R27" s="406">
        <v>5253196.7340537291</v>
      </c>
      <c r="S27" s="407">
        <v>3271426.9102009367</v>
      </c>
      <c r="T27" s="408"/>
      <c r="U27" s="448">
        <v>226506.94959661365</v>
      </c>
    </row>
    <row r="28" spans="3:21" x14ac:dyDescent="0.25">
      <c r="C28" s="432">
        <v>2028</v>
      </c>
      <c r="D28" s="441">
        <v>232612.35294117779</v>
      </c>
      <c r="E28" s="442">
        <v>74696.176470588893</v>
      </c>
      <c r="F28" s="443">
        <v>1.48</v>
      </c>
      <c r="G28" s="444">
        <v>1.48</v>
      </c>
      <c r="H28" s="441">
        <v>2135335.8823529482</v>
      </c>
      <c r="I28" s="442">
        <v>2427851.1764705777</v>
      </c>
      <c r="J28" s="445">
        <v>0.38</v>
      </c>
      <c r="K28" s="446">
        <v>0.38</v>
      </c>
      <c r="L28" s="441">
        <v>0</v>
      </c>
      <c r="M28" s="442">
        <v>0</v>
      </c>
      <c r="N28" s="443">
        <v>0.16122348020190275</v>
      </c>
      <c r="O28" s="444">
        <v>4.5534233007305289E-2</v>
      </c>
      <c r="P28" s="442">
        <v>2135335.8823529482</v>
      </c>
      <c r="Q28" s="447">
        <v>5730233.1554960106</v>
      </c>
      <c r="R28" s="406">
        <v>5730233.1554960106</v>
      </c>
      <c r="S28" s="407">
        <v>3335047.8677791278</v>
      </c>
      <c r="T28" s="408"/>
      <c r="U28" s="448">
        <v>247072.66662674397</v>
      </c>
    </row>
    <row r="29" spans="3:21" x14ac:dyDescent="0.25">
      <c r="C29" s="432">
        <v>2029</v>
      </c>
      <c r="D29" s="441">
        <v>252107.64705882221</v>
      </c>
      <c r="E29" s="442">
        <v>81158.82352941297</v>
      </c>
      <c r="F29" s="443">
        <v>1.48</v>
      </c>
      <c r="G29" s="444">
        <v>1.48</v>
      </c>
      <c r="H29" s="441">
        <v>2314196.6176471114</v>
      </c>
      <c r="I29" s="442">
        <v>2634333.8235294223</v>
      </c>
      <c r="J29" s="445">
        <v>0.38</v>
      </c>
      <c r="K29" s="446">
        <v>0.38</v>
      </c>
      <c r="L29" s="441">
        <v>0</v>
      </c>
      <c r="M29" s="442">
        <v>0</v>
      </c>
      <c r="N29" s="443">
        <v>0.16123060365822095</v>
      </c>
      <c r="O29" s="444">
        <v>4.5595990056645018E-2</v>
      </c>
      <c r="P29" s="442">
        <v>2314196.6176471114</v>
      </c>
      <c r="Q29" s="447">
        <v>6207278.1700422661</v>
      </c>
      <c r="R29" s="406">
        <v>6207278.1700422661</v>
      </c>
      <c r="S29" s="407">
        <v>3376348.0462919711</v>
      </c>
      <c r="T29" s="408"/>
      <c r="U29" s="448">
        <v>267638.38365686685</v>
      </c>
    </row>
    <row r="30" spans="3:21" x14ac:dyDescent="0.25">
      <c r="C30" s="432">
        <v>2030</v>
      </c>
      <c r="D30" s="441">
        <v>271602.94117647409</v>
      </c>
      <c r="E30" s="442">
        <v>87621.470588235185</v>
      </c>
      <c r="F30" s="443">
        <v>1.48</v>
      </c>
      <c r="G30" s="444">
        <v>1.48</v>
      </c>
      <c r="H30" s="441">
        <v>2493057.352941215</v>
      </c>
      <c r="I30" s="442">
        <v>2840816.4705882072</v>
      </c>
      <c r="J30" s="445">
        <v>0.38</v>
      </c>
      <c r="K30" s="446">
        <v>0.38</v>
      </c>
      <c r="L30" s="441">
        <v>0</v>
      </c>
      <c r="M30" s="442">
        <v>0</v>
      </c>
      <c r="N30" s="443">
        <v>0.1612367049907415</v>
      </c>
      <c r="O30" s="444">
        <v>4.5648769574944466E-2</v>
      </c>
      <c r="P30" s="442">
        <v>2493057.352941215</v>
      </c>
      <c r="Q30" s="447">
        <v>6684329.9039426129</v>
      </c>
      <c r="R30" s="406">
        <v>6684329.9039426129</v>
      </c>
      <c r="S30" s="407">
        <v>3397974.3750641537</v>
      </c>
      <c r="T30" s="408"/>
      <c r="U30" s="448">
        <v>288204.10068699718</v>
      </c>
    </row>
    <row r="31" spans="3:21" x14ac:dyDescent="0.25">
      <c r="C31" s="432">
        <v>2031</v>
      </c>
      <c r="D31" s="441">
        <v>291098.23529411852</v>
      </c>
      <c r="E31" s="442">
        <v>94084.117647059262</v>
      </c>
      <c r="F31" s="443">
        <v>1.48</v>
      </c>
      <c r="G31" s="444">
        <v>1.48</v>
      </c>
      <c r="H31" s="441">
        <v>2671918.0882353187</v>
      </c>
      <c r="I31" s="442">
        <v>3047299.1176470518</v>
      </c>
      <c r="J31" s="445">
        <v>0.38</v>
      </c>
      <c r="K31" s="446">
        <v>0.38</v>
      </c>
      <c r="L31" s="441">
        <v>0</v>
      </c>
      <c r="M31" s="442">
        <v>0</v>
      </c>
      <c r="N31" s="443">
        <v>0.16124198946526694</v>
      </c>
      <c r="O31" s="444">
        <v>4.5694396494021974E-2</v>
      </c>
      <c r="P31" s="442">
        <v>2671918.0882353187</v>
      </c>
      <c r="Q31" s="447">
        <v>7161386.9913017321</v>
      </c>
      <c r="R31" s="406">
        <v>7161386.9913017321</v>
      </c>
      <c r="S31" s="407">
        <v>3402323.3717112257</v>
      </c>
      <c r="T31" s="408"/>
      <c r="U31" s="448">
        <v>308769.8177171275</v>
      </c>
    </row>
    <row r="32" spans="3:21" x14ac:dyDescent="0.25">
      <c r="C32" s="432">
        <v>2032</v>
      </c>
      <c r="D32" s="441">
        <v>310593.52941176295</v>
      </c>
      <c r="E32" s="442">
        <v>100546.76470588334</v>
      </c>
      <c r="F32" s="443">
        <v>1.48</v>
      </c>
      <c r="G32" s="444">
        <v>1.48</v>
      </c>
      <c r="H32" s="441">
        <v>2850778.8235294223</v>
      </c>
      <c r="I32" s="442">
        <v>3253781.7647058964</v>
      </c>
      <c r="J32" s="445">
        <v>0.38</v>
      </c>
      <c r="K32" s="446">
        <v>0.38</v>
      </c>
      <c r="L32" s="441">
        <v>0</v>
      </c>
      <c r="M32" s="442">
        <v>0</v>
      </c>
      <c r="N32" s="443">
        <v>0.16124661083328162</v>
      </c>
      <c r="O32" s="444">
        <v>4.5734232510261166E-2</v>
      </c>
      <c r="P32" s="442">
        <v>2850778.8235294223</v>
      </c>
      <c r="Q32" s="447">
        <v>7638448.4129399136</v>
      </c>
      <c r="R32" s="406">
        <v>7638448.4129399136</v>
      </c>
      <c r="S32" s="407">
        <v>3391562.4453887362</v>
      </c>
      <c r="T32" s="408"/>
      <c r="U32" s="448">
        <v>329335.53474725783</v>
      </c>
    </row>
    <row r="33" spans="3:21" x14ac:dyDescent="0.25">
      <c r="C33" s="432">
        <v>2033</v>
      </c>
      <c r="D33" s="441">
        <v>330088.82352941483</v>
      </c>
      <c r="E33" s="442">
        <v>107009.41176470555</v>
      </c>
      <c r="F33" s="443">
        <v>1.48</v>
      </c>
      <c r="G33" s="444">
        <v>1.48</v>
      </c>
      <c r="H33" s="441">
        <v>3029639.5588235259</v>
      </c>
      <c r="I33" s="442">
        <v>3460264.4117646813</v>
      </c>
      <c r="J33" s="445">
        <v>0.38</v>
      </c>
      <c r="K33" s="446">
        <v>0.38</v>
      </c>
      <c r="L33" s="441">
        <v>0</v>
      </c>
      <c r="M33" s="442">
        <v>0</v>
      </c>
      <c r="N33" s="443">
        <v>0.16125068653818384</v>
      </c>
      <c r="O33" s="444">
        <v>4.5769314296706005E-2</v>
      </c>
      <c r="P33" s="442">
        <v>3029639.5588235259</v>
      </c>
      <c r="Q33" s="447">
        <v>8115513.3929455439</v>
      </c>
      <c r="R33" s="406">
        <v>8115513.3929455439</v>
      </c>
      <c r="S33" s="407">
        <v>3367649.5344356801</v>
      </c>
      <c r="T33" s="408"/>
      <c r="U33" s="448">
        <v>349901.25177738816</v>
      </c>
    </row>
    <row r="34" spans="3:21" x14ac:dyDescent="0.25">
      <c r="C34" s="432">
        <v>2034</v>
      </c>
      <c r="D34" s="441">
        <v>349584.11764705926</v>
      </c>
      <c r="E34" s="442">
        <v>113472.05882352963</v>
      </c>
      <c r="F34" s="443">
        <v>1.48</v>
      </c>
      <c r="G34" s="444">
        <v>1.48</v>
      </c>
      <c r="H34" s="441">
        <v>3208500.2941176891</v>
      </c>
      <c r="I34" s="442">
        <v>3666747.0588235259</v>
      </c>
      <c r="J34" s="445">
        <v>0.38</v>
      </c>
      <c r="K34" s="446">
        <v>0.38</v>
      </c>
      <c r="L34" s="441">
        <v>0</v>
      </c>
      <c r="M34" s="442">
        <v>0</v>
      </c>
      <c r="N34" s="443">
        <v>0.16125430783540698</v>
      </c>
      <c r="O34" s="444">
        <v>4.5800445016981044E-2</v>
      </c>
      <c r="P34" s="442">
        <v>3208500.2941176891</v>
      </c>
      <c r="Q34" s="447">
        <v>8592581.3301794361</v>
      </c>
      <c r="R34" s="406">
        <v>8592581.3301794361</v>
      </c>
      <c r="S34" s="407">
        <v>3332351.1846871646</v>
      </c>
      <c r="T34" s="408"/>
      <c r="U34" s="448">
        <v>370466.96880751848</v>
      </c>
    </row>
    <row r="35" spans="3:21" x14ac:dyDescent="0.25">
      <c r="C35" s="432">
        <v>2035</v>
      </c>
      <c r="D35" s="441">
        <v>369079.41176470369</v>
      </c>
      <c r="E35" s="442">
        <v>119934.70588235371</v>
      </c>
      <c r="F35" s="443">
        <v>1.48</v>
      </c>
      <c r="G35" s="444">
        <v>1.48</v>
      </c>
      <c r="H35" s="441">
        <v>3387361.0294117928</v>
      </c>
      <c r="I35" s="442">
        <v>3873229.7058823705</v>
      </c>
      <c r="J35" s="445">
        <v>0.38</v>
      </c>
      <c r="K35" s="446">
        <v>0.38</v>
      </c>
      <c r="L35" s="441">
        <v>0</v>
      </c>
      <c r="M35" s="442">
        <v>0</v>
      </c>
      <c r="N35" s="443">
        <v>0.16125754670638526</v>
      </c>
      <c r="O35" s="444">
        <v>4.5828256567459633E-2</v>
      </c>
      <c r="P35" s="442">
        <v>3387361.0294117928</v>
      </c>
      <c r="Q35" s="447">
        <v>9069651.7516906392</v>
      </c>
      <c r="R35" s="406">
        <v>9069651.7516906392</v>
      </c>
      <c r="S35" s="407">
        <v>3287259.1769426274</v>
      </c>
      <c r="T35" s="408"/>
      <c r="U35" s="448">
        <v>391032.68583764881</v>
      </c>
    </row>
    <row r="36" spans="3:21" x14ac:dyDescent="0.25">
      <c r="C36" s="432">
        <v>2036</v>
      </c>
      <c r="D36" s="441">
        <v>388574.70588235557</v>
      </c>
      <c r="E36" s="442">
        <v>126397.35294117779</v>
      </c>
      <c r="F36" s="443">
        <v>1.48</v>
      </c>
      <c r="G36" s="444">
        <v>1.48</v>
      </c>
      <c r="H36" s="441">
        <v>3566221.7647058964</v>
      </c>
      <c r="I36" s="442">
        <v>4079712.3529411554</v>
      </c>
      <c r="J36" s="445">
        <v>0.38</v>
      </c>
      <c r="K36" s="446">
        <v>0.38</v>
      </c>
      <c r="L36" s="441">
        <v>0</v>
      </c>
      <c r="M36" s="442">
        <v>0</v>
      </c>
      <c r="N36" s="443">
        <v>0.16126046069188116</v>
      </c>
      <c r="O36" s="444">
        <v>4.5853252918206737E-2</v>
      </c>
      <c r="P36" s="442">
        <v>3566221.7647058964</v>
      </c>
      <c r="Q36" s="447">
        <v>9546724.2802761234</v>
      </c>
      <c r="R36" s="406">
        <v>9546724.2802761234</v>
      </c>
      <c r="S36" s="407">
        <v>3233805.8093543481</v>
      </c>
      <c r="T36" s="408"/>
      <c r="U36" s="448">
        <v>411598.40286777914</v>
      </c>
    </row>
    <row r="37" spans="3:21" x14ac:dyDescent="0.25">
      <c r="C37" s="432">
        <v>2037</v>
      </c>
      <c r="D37" s="441">
        <v>408070</v>
      </c>
      <c r="E37" s="442">
        <v>132860</v>
      </c>
      <c r="F37" s="443">
        <v>1.48</v>
      </c>
      <c r="G37" s="444">
        <v>1.48</v>
      </c>
      <c r="H37" s="441">
        <v>3745082.5</v>
      </c>
      <c r="I37" s="442">
        <v>4286195</v>
      </c>
      <c r="J37" s="445">
        <v>0.38</v>
      </c>
      <c r="K37" s="446">
        <v>0.38</v>
      </c>
      <c r="L37" s="441">
        <v>0</v>
      </c>
      <c r="M37" s="442">
        <v>0</v>
      </c>
      <c r="N37" s="443">
        <v>0.16126309634033428</v>
      </c>
      <c r="O37" s="444">
        <v>4.5875840926509405E-2</v>
      </c>
      <c r="P37" s="442">
        <v>3745082.5</v>
      </c>
      <c r="Q37" s="447">
        <v>10023798.611417729</v>
      </c>
      <c r="R37" s="406">
        <v>10023798.611417729</v>
      </c>
      <c r="S37" s="407">
        <v>3173277.9355445616</v>
      </c>
      <c r="T37" s="408"/>
      <c r="U37" s="448">
        <v>432164.11989790946</v>
      </c>
    </row>
    <row r="38" spans="3:21" x14ac:dyDescent="0.25">
      <c r="C38" s="432">
        <v>2038</v>
      </c>
      <c r="D38" s="441">
        <v>427565.29411764443</v>
      </c>
      <c r="E38" s="442">
        <v>139322.64705882408</v>
      </c>
      <c r="F38" s="443">
        <v>1.48</v>
      </c>
      <c r="G38" s="444">
        <v>1.48</v>
      </c>
      <c r="H38" s="441">
        <v>3923943.2352941632</v>
      </c>
      <c r="I38" s="442">
        <v>4492677.6470588446</v>
      </c>
      <c r="J38" s="445">
        <v>0.38</v>
      </c>
      <c r="K38" s="446">
        <v>0.38</v>
      </c>
      <c r="L38" s="441">
        <v>0</v>
      </c>
      <c r="M38" s="442">
        <v>0</v>
      </c>
      <c r="N38" s="443">
        <v>0.16126549171312754</v>
      </c>
      <c r="O38" s="444">
        <v>4.5896352653310872E-2</v>
      </c>
      <c r="P38" s="442">
        <v>3923943.2352941632</v>
      </c>
      <c r="Q38" s="447">
        <v>10500874.496580016</v>
      </c>
      <c r="R38" s="406">
        <v>10500874.496580016</v>
      </c>
      <c r="S38" s="407">
        <v>3106829.8533597551</v>
      </c>
      <c r="T38" s="408"/>
      <c r="U38" s="448">
        <v>452729.83692803979</v>
      </c>
    </row>
    <row r="39" spans="3:21" x14ac:dyDescent="0.25">
      <c r="C39" s="432">
        <v>2039</v>
      </c>
      <c r="D39" s="441">
        <v>447060.58823529631</v>
      </c>
      <c r="E39" s="442">
        <v>145785.29411764815</v>
      </c>
      <c r="F39" s="443">
        <v>1.48</v>
      </c>
      <c r="G39" s="444">
        <v>1.48</v>
      </c>
      <c r="H39" s="441">
        <v>4102803.9705882668</v>
      </c>
      <c r="I39" s="442">
        <v>4699160.2941176295</v>
      </c>
      <c r="J39" s="445">
        <v>0.38</v>
      </c>
      <c r="K39" s="446">
        <v>0.38</v>
      </c>
      <c r="L39" s="441">
        <v>0</v>
      </c>
      <c r="M39" s="442">
        <v>0</v>
      </c>
      <c r="N39" s="443">
        <v>0.1612676782345441</v>
      </c>
      <c r="O39" s="444">
        <v>4.5915061796084865E-2</v>
      </c>
      <c r="P39" s="442">
        <v>4102803.9705882668</v>
      </c>
      <c r="Q39" s="447">
        <v>10977951.73091081</v>
      </c>
      <c r="R39" s="406">
        <v>10977951.73091081</v>
      </c>
      <c r="S39" s="407">
        <v>3035495.1329876077</v>
      </c>
      <c r="T39" s="408"/>
      <c r="U39" s="448">
        <v>473295.55395817012</v>
      </c>
    </row>
    <row r="40" spans="3:21" x14ac:dyDescent="0.25">
      <c r="C40" s="432">
        <v>2040</v>
      </c>
      <c r="D40" s="441">
        <v>466555.88235294074</v>
      </c>
      <c r="E40" s="442">
        <v>152247.94117647037</v>
      </c>
      <c r="F40" s="443">
        <v>1.48</v>
      </c>
      <c r="G40" s="444">
        <v>1.48</v>
      </c>
      <c r="H40" s="441">
        <v>4281664.7058823705</v>
      </c>
      <c r="I40" s="442">
        <v>4905642.9411764741</v>
      </c>
      <c r="J40" s="445">
        <v>0.38</v>
      </c>
      <c r="K40" s="446">
        <v>0.38</v>
      </c>
      <c r="L40" s="441">
        <v>0</v>
      </c>
      <c r="M40" s="442">
        <v>0</v>
      </c>
      <c r="N40" s="443">
        <v>0.16126968207802547</v>
      </c>
      <c r="O40" s="444">
        <v>4.5932195971673813E-2</v>
      </c>
      <c r="P40" s="442">
        <v>4281664.7058823705</v>
      </c>
      <c r="Q40" s="447">
        <v>11455030.144046821</v>
      </c>
      <c r="R40" s="406">
        <v>11455030.144046821</v>
      </c>
      <c r="S40" s="407">
        <v>2960197.4670273862</v>
      </c>
      <c r="T40" s="408"/>
      <c r="U40" s="448">
        <v>493861.27098830044</v>
      </c>
    </row>
    <row r="41" spans="3:21" x14ac:dyDescent="0.25">
      <c r="C41" s="432">
        <v>2041</v>
      </c>
      <c r="D41" s="441">
        <v>486051.17647059262</v>
      </c>
      <c r="E41" s="442">
        <v>158710.58823529445</v>
      </c>
      <c r="F41" s="443">
        <v>1.48</v>
      </c>
      <c r="G41" s="444">
        <v>1.48</v>
      </c>
      <c r="H41" s="441">
        <v>4460525.4411764741</v>
      </c>
      <c r="I41" s="442">
        <v>5112125.5882352591</v>
      </c>
      <c r="J41" s="445">
        <v>0.38</v>
      </c>
      <c r="K41" s="446">
        <v>0.38</v>
      </c>
      <c r="L41" s="441">
        <v>0</v>
      </c>
      <c r="M41" s="442">
        <v>0</v>
      </c>
      <c r="N41" s="443">
        <v>0.16127152521895385</v>
      </c>
      <c r="O41" s="444">
        <v>4.5947946022453258E-2</v>
      </c>
      <c r="P41" s="442">
        <v>4460525.4411764741</v>
      </c>
      <c r="Q41" s="447">
        <v>11932109.593149789</v>
      </c>
      <c r="R41" s="406">
        <v>11932109.593149789</v>
      </c>
      <c r="S41" s="407">
        <v>2881760.6191846398</v>
      </c>
      <c r="T41" s="408"/>
      <c r="U41" s="448">
        <v>514426.98801843077</v>
      </c>
    </row>
    <row r="42" spans="3:21" x14ac:dyDescent="0.25">
      <c r="C42" s="432">
        <v>2042</v>
      </c>
      <c r="D42" s="441">
        <v>505546.47058823705</v>
      </c>
      <c r="E42" s="442">
        <v>165173.23529411852</v>
      </c>
      <c r="F42" s="443">
        <v>1.48</v>
      </c>
      <c r="G42" s="444">
        <v>1.48</v>
      </c>
      <c r="H42" s="441">
        <v>4639386.1764706373</v>
      </c>
      <c r="I42" s="442">
        <v>5318608.2352941036</v>
      </c>
      <c r="J42" s="445">
        <v>0.38</v>
      </c>
      <c r="K42" s="446">
        <v>0.38</v>
      </c>
      <c r="L42" s="441">
        <v>0</v>
      </c>
      <c r="M42" s="442">
        <v>0</v>
      </c>
      <c r="N42" s="443">
        <v>0.16127322624386112</v>
      </c>
      <c r="O42" s="444">
        <v>4.5962473154742084E-2</v>
      </c>
      <c r="P42" s="442">
        <v>4639386.1764706373</v>
      </c>
      <c r="Q42" s="447">
        <v>12409189.957562279</v>
      </c>
      <c r="R42" s="406">
        <v>12409189.957562279</v>
      </c>
      <c r="S42" s="407">
        <v>2800917.5426335204</v>
      </c>
      <c r="T42" s="408"/>
      <c r="U42" s="448">
        <v>534992.70504855365</v>
      </c>
    </row>
    <row r="43" spans="3:21" x14ac:dyDescent="0.25">
      <c r="C43" s="432">
        <v>2043</v>
      </c>
      <c r="D43" s="441">
        <v>525041.76470588148</v>
      </c>
      <c r="E43" s="442">
        <v>171635.88235294074</v>
      </c>
      <c r="F43" s="443">
        <v>1.48</v>
      </c>
      <c r="G43" s="444">
        <v>1.48</v>
      </c>
      <c r="H43" s="441">
        <v>4818246.9117647409</v>
      </c>
      <c r="I43" s="442">
        <v>5525090.8823529482</v>
      </c>
      <c r="J43" s="445">
        <v>0.38</v>
      </c>
      <c r="K43" s="446">
        <v>0.38</v>
      </c>
      <c r="L43" s="441">
        <v>0</v>
      </c>
      <c r="M43" s="442">
        <v>0</v>
      </c>
      <c r="N43" s="443">
        <v>0.16127480097944924</v>
      </c>
      <c r="O43" s="444">
        <v>4.5975914476572975E-2</v>
      </c>
      <c r="P43" s="442">
        <v>4818246.9117647409</v>
      </c>
      <c r="Q43" s="447">
        <v>12886271.134664319</v>
      </c>
      <c r="R43" s="406">
        <v>12886271.134664319</v>
      </c>
      <c r="S43" s="407">
        <v>2718318.7337988084</v>
      </c>
      <c r="T43" s="408"/>
      <c r="U43" s="448">
        <v>555558.42207868397</v>
      </c>
    </row>
    <row r="44" spans="3:21" x14ac:dyDescent="0.25">
      <c r="C44" s="432">
        <v>2044</v>
      </c>
      <c r="D44" s="441">
        <v>544537.05882353336</v>
      </c>
      <c r="E44" s="442">
        <v>178098.52941176482</v>
      </c>
      <c r="F44" s="443">
        <v>1.48</v>
      </c>
      <c r="G44" s="444">
        <v>1.48</v>
      </c>
      <c r="H44" s="441">
        <v>4997107.6470588446</v>
      </c>
      <c r="I44" s="442">
        <v>5731573.5294117332</v>
      </c>
      <c r="J44" s="445">
        <v>0.38</v>
      </c>
      <c r="K44" s="446">
        <v>0.38</v>
      </c>
      <c r="L44" s="441">
        <v>0</v>
      </c>
      <c r="M44" s="442">
        <v>0</v>
      </c>
      <c r="N44" s="443">
        <v>0.16127626298648337</v>
      </c>
      <c r="O44" s="444">
        <v>4.5988387338453174E-2</v>
      </c>
      <c r="P44" s="442">
        <v>4997107.6470588446</v>
      </c>
      <c r="Q44" s="447">
        <v>13363353.03662337</v>
      </c>
      <c r="R44" s="406">
        <v>13363353.03662337</v>
      </c>
      <c r="S44" s="407">
        <v>2634539.8823527815</v>
      </c>
      <c r="T44" s="408"/>
      <c r="U44" s="448">
        <v>576124.1391088143</v>
      </c>
    </row>
    <row r="45" spans="3:21" x14ac:dyDescent="0.25">
      <c r="C45" s="432">
        <v>2045</v>
      </c>
      <c r="D45" s="441">
        <v>564032.35294117779</v>
      </c>
      <c r="E45" s="442">
        <v>184561.17647058889</v>
      </c>
      <c r="F45" s="443">
        <v>1.48</v>
      </c>
      <c r="G45" s="444">
        <v>1.48</v>
      </c>
      <c r="H45" s="441">
        <v>5175968.3823529482</v>
      </c>
      <c r="I45" s="442">
        <v>5938056.1764705777</v>
      </c>
      <c r="J45" s="445">
        <v>0.38</v>
      </c>
      <c r="K45" s="446">
        <v>0.38</v>
      </c>
      <c r="L45" s="441">
        <v>0</v>
      </c>
      <c r="M45" s="442">
        <v>0</v>
      </c>
      <c r="N45" s="443">
        <v>0.1612776239513011</v>
      </c>
      <c r="O45" s="444">
        <v>4.5999992768479492E-2</v>
      </c>
      <c r="P45" s="442">
        <v>5175968.3823529482</v>
      </c>
      <c r="Q45" s="447">
        <v>13840435.587823251</v>
      </c>
      <c r="R45" s="406">
        <v>13840435.587823251</v>
      </c>
      <c r="S45" s="407">
        <v>2550088.8736059684</v>
      </c>
      <c r="T45" s="408"/>
      <c r="U45" s="448">
        <v>596689.85613894463</v>
      </c>
    </row>
    <row r="46" spans="3:21" x14ac:dyDescent="0.25">
      <c r="C46" s="432">
        <v>2046</v>
      </c>
      <c r="D46" s="441">
        <v>583527.64705882221</v>
      </c>
      <c r="E46" s="442">
        <v>191023.82352941297</v>
      </c>
      <c r="F46" s="443">
        <v>1.48</v>
      </c>
      <c r="G46" s="444">
        <v>1.48</v>
      </c>
      <c r="H46" s="441">
        <v>5354829.1176471114</v>
      </c>
      <c r="I46" s="442">
        <v>6144538.8235294223</v>
      </c>
      <c r="J46" s="445">
        <v>0.38</v>
      </c>
      <c r="K46" s="446">
        <v>0.38</v>
      </c>
      <c r="L46" s="441">
        <v>0</v>
      </c>
      <c r="M46" s="442">
        <v>0</v>
      </c>
      <c r="N46" s="443">
        <v>0.16127889399886736</v>
      </c>
      <c r="O46" s="444">
        <v>4.601081821485499E-2</v>
      </c>
      <c r="P46" s="442">
        <v>5354829.1176471114</v>
      </c>
      <c r="Q46" s="447">
        <v>14317518.722812315</v>
      </c>
      <c r="R46" s="406">
        <v>14317518.722812315</v>
      </c>
      <c r="S46" s="407">
        <v>2465412.1951751732</v>
      </c>
      <c r="T46" s="408"/>
      <c r="U46" s="448">
        <v>617255.57316907495</v>
      </c>
    </row>
    <row r="47" spans="3:21" x14ac:dyDescent="0.25">
      <c r="C47" s="432">
        <v>2047</v>
      </c>
      <c r="D47" s="441">
        <v>603022.94117647409</v>
      </c>
      <c r="E47" s="442">
        <v>197486.47058823518</v>
      </c>
      <c r="F47" s="443">
        <v>1.48</v>
      </c>
      <c r="G47" s="444">
        <v>1.48</v>
      </c>
      <c r="H47" s="441">
        <v>5533689.852941215</v>
      </c>
      <c r="I47" s="442">
        <v>6351021.4705882072</v>
      </c>
      <c r="J47" s="445">
        <v>0.38</v>
      </c>
      <c r="K47" s="446">
        <v>0.38</v>
      </c>
      <c r="L47" s="441">
        <v>0</v>
      </c>
      <c r="M47" s="442">
        <v>0</v>
      </c>
      <c r="N47" s="443">
        <v>0.16128008194510976</v>
      </c>
      <c r="O47" s="444">
        <v>4.602093975341548E-2</v>
      </c>
      <c r="P47" s="442">
        <v>5533689.852941215</v>
      </c>
      <c r="Q47" s="447">
        <v>14794602.384650962</v>
      </c>
      <c r="R47" s="406">
        <v>14794602.384650962</v>
      </c>
      <c r="S47" s="407">
        <v>2380900.7958254027</v>
      </c>
      <c r="T47" s="408"/>
      <c r="U47" s="448">
        <v>637821.29019920528</v>
      </c>
    </row>
    <row r="48" spans="3:21" x14ac:dyDescent="0.25">
      <c r="C48" s="432">
        <v>2048</v>
      </c>
      <c r="D48" s="441">
        <v>622518.23529411852</v>
      </c>
      <c r="E48" s="442">
        <v>203949.11764705926</v>
      </c>
      <c r="F48" s="443">
        <v>1.48</v>
      </c>
      <c r="G48" s="444">
        <v>1.48</v>
      </c>
      <c r="H48" s="441">
        <v>5712550.5882353187</v>
      </c>
      <c r="I48" s="442">
        <v>6557504.1176470518</v>
      </c>
      <c r="J48" s="445">
        <v>0.38</v>
      </c>
      <c r="K48" s="446">
        <v>0.38</v>
      </c>
      <c r="L48" s="441">
        <v>0</v>
      </c>
      <c r="M48" s="442">
        <v>0</v>
      </c>
      <c r="N48" s="443">
        <v>0.16128119550183367</v>
      </c>
      <c r="O48" s="444">
        <v>4.6030423878095091E-2</v>
      </c>
      <c r="P48" s="442">
        <v>5712550.5882353187</v>
      </c>
      <c r="Q48" s="447">
        <v>15271686.523570348</v>
      </c>
      <c r="R48" s="406">
        <v>15271686.523570348</v>
      </c>
      <c r="S48" s="407">
        <v>2296895.4406868224</v>
      </c>
      <c r="T48" s="408"/>
      <c r="U48" s="448">
        <v>658387.00722933561</v>
      </c>
    </row>
    <row r="49" spans="3:21" x14ac:dyDescent="0.25">
      <c r="C49" s="432">
        <v>2049</v>
      </c>
      <c r="D49" s="441">
        <v>642013.52941176295</v>
      </c>
      <c r="E49" s="442">
        <v>210411.76470588334</v>
      </c>
      <c r="F49" s="443">
        <v>1.48</v>
      </c>
      <c r="G49" s="444">
        <v>1.48</v>
      </c>
      <c r="H49" s="441">
        <v>5891411.3235294223</v>
      </c>
      <c r="I49" s="442">
        <v>6763986.7647058964</v>
      </c>
      <c r="J49" s="445">
        <v>0.38</v>
      </c>
      <c r="K49" s="446">
        <v>0.38</v>
      </c>
      <c r="L49" s="441">
        <v>0</v>
      </c>
      <c r="M49" s="442">
        <v>0</v>
      </c>
      <c r="N49" s="443">
        <v>0.16128224144434308</v>
      </c>
      <c r="O49" s="444">
        <v>4.6039328963448631E-2</v>
      </c>
      <c r="P49" s="442">
        <v>5891411.3235294223</v>
      </c>
      <c r="Q49" s="447">
        <v>15748771.095879491</v>
      </c>
      <c r="R49" s="406">
        <v>15748771.095879491</v>
      </c>
      <c r="S49" s="407">
        <v>2213691.6036247439</v>
      </c>
      <c r="T49" s="408"/>
      <c r="U49" s="448">
        <v>678952.72425946593</v>
      </c>
    </row>
    <row r="50" spans="3:21" x14ac:dyDescent="0.25">
      <c r="C50" s="432">
        <v>2050</v>
      </c>
      <c r="D50" s="441">
        <v>661508.82352941483</v>
      </c>
      <c r="E50" s="442">
        <v>216874.41176470555</v>
      </c>
      <c r="F50" s="443">
        <v>1.48</v>
      </c>
      <c r="G50" s="444">
        <v>1.48</v>
      </c>
      <c r="H50" s="441">
        <v>6070272.0588235259</v>
      </c>
      <c r="I50" s="442">
        <v>6970469.4117646813</v>
      </c>
      <c r="J50" s="445">
        <v>0.38</v>
      </c>
      <c r="K50" s="446">
        <v>0.38</v>
      </c>
      <c r="L50" s="441">
        <v>0</v>
      </c>
      <c r="M50" s="442">
        <v>0</v>
      </c>
      <c r="N50" s="443">
        <v>0.16128322574940396</v>
      </c>
      <c r="O50" s="444">
        <v>4.6047706467232698E-2</v>
      </c>
      <c r="P50" s="442">
        <v>6070272.0588235259</v>
      </c>
      <c r="Q50" s="447">
        <v>16225856.063064411</v>
      </c>
      <c r="R50" s="406">
        <v>16225856.063064411</v>
      </c>
      <c r="S50" s="407">
        <v>2131543.934370094</v>
      </c>
      <c r="T50" s="408"/>
      <c r="U50" s="448">
        <v>699518.44128959626</v>
      </c>
    </row>
    <row r="51" spans="3:21" x14ac:dyDescent="0.25">
      <c r="C51" s="432">
        <v>2051</v>
      </c>
      <c r="D51" s="441">
        <v>681004.11764705926</v>
      </c>
      <c r="E51" s="442">
        <v>223337.05882352963</v>
      </c>
      <c r="F51" s="443">
        <v>1.48</v>
      </c>
      <c r="G51" s="444">
        <v>1.48</v>
      </c>
      <c r="H51" s="441">
        <v>6249132.7941176891</v>
      </c>
      <c r="I51" s="442">
        <v>7176952.0588235259</v>
      </c>
      <c r="J51" s="445">
        <v>0.38</v>
      </c>
      <c r="K51" s="446">
        <v>0.38</v>
      </c>
      <c r="L51" s="441">
        <v>0</v>
      </c>
      <c r="M51" s="442">
        <v>0</v>
      </c>
      <c r="N51" s="443">
        <v>0.1612841537095149</v>
      </c>
      <c r="O51" s="444">
        <v>4.6055601925395484E-2</v>
      </c>
      <c r="P51" s="442">
        <v>6249132.7941176891</v>
      </c>
      <c r="Q51" s="447">
        <v>16702941.391042542</v>
      </c>
      <c r="R51" s="406">
        <v>16702941.391042542</v>
      </c>
      <c r="S51" s="407">
        <v>2050670.3350872265</v>
      </c>
      <c r="T51" s="408"/>
      <c r="U51" s="448">
        <v>720084.15831972659</v>
      </c>
    </row>
    <row r="52" spans="3:21" x14ac:dyDescent="0.25">
      <c r="C52" s="432">
        <v>2052</v>
      </c>
      <c r="D52" s="441">
        <v>700499.41176470369</v>
      </c>
      <c r="E52" s="442">
        <v>229799.70588235371</v>
      </c>
      <c r="F52" s="443">
        <v>1.48</v>
      </c>
      <c r="G52" s="444">
        <v>1.48</v>
      </c>
      <c r="H52" s="441">
        <v>6427993.5294117928</v>
      </c>
      <c r="I52" s="442">
        <v>7383434.7058823705</v>
      </c>
      <c r="J52" s="445">
        <v>0.38</v>
      </c>
      <c r="K52" s="446">
        <v>0.38</v>
      </c>
      <c r="L52" s="441">
        <v>0</v>
      </c>
      <c r="M52" s="442">
        <v>0</v>
      </c>
      <c r="N52" s="443">
        <v>0.161285030028123</v>
      </c>
      <c r="O52" s="444">
        <v>4.6063055780113223E-2</v>
      </c>
      <c r="P52" s="442">
        <v>6427993.5294117928</v>
      </c>
      <c r="Q52" s="447">
        <v>17180027.049544759</v>
      </c>
      <c r="R52" s="406">
        <v>17180027.049544759</v>
      </c>
      <c r="S52" s="407">
        <v>1971255.6783444562</v>
      </c>
      <c r="T52" s="408"/>
      <c r="U52" s="448">
        <v>740649.87534985691</v>
      </c>
    </row>
    <row r="53" spans="3:21" x14ac:dyDescent="0.25">
      <c r="C53" s="432">
        <v>2053</v>
      </c>
      <c r="D53" s="441">
        <v>719994.70588235557</v>
      </c>
      <c r="E53" s="442">
        <v>236262.35294117779</v>
      </c>
      <c r="F53" s="443">
        <v>1.48</v>
      </c>
      <c r="G53" s="444">
        <v>1.48</v>
      </c>
      <c r="H53" s="441">
        <v>6606854.2647058964</v>
      </c>
      <c r="I53" s="442">
        <v>7589917.3529411554</v>
      </c>
      <c r="J53" s="445">
        <v>0.38</v>
      </c>
      <c r="K53" s="446">
        <v>0.38</v>
      </c>
      <c r="L53" s="441">
        <v>0</v>
      </c>
      <c r="M53" s="442">
        <v>0</v>
      </c>
      <c r="N53" s="443">
        <v>0.1612858588993443</v>
      </c>
      <c r="O53" s="444">
        <v>4.6070104072667373E-2</v>
      </c>
      <c r="P53" s="442">
        <v>6606854.2647058964</v>
      </c>
      <c r="Q53" s="447">
        <v>17657113.01159564</v>
      </c>
      <c r="R53" s="406">
        <v>17657113.01159564</v>
      </c>
      <c r="S53" s="407">
        <v>1893455.1959450536</v>
      </c>
      <c r="T53" s="408"/>
      <c r="U53" s="448">
        <v>761215.59237998724</v>
      </c>
    </row>
    <row r="54" spans="3:21" x14ac:dyDescent="0.25">
      <c r="C54" s="432">
        <v>2054</v>
      </c>
      <c r="D54" s="441">
        <v>739490</v>
      </c>
      <c r="E54" s="442">
        <v>242725</v>
      </c>
      <c r="F54" s="443">
        <v>1.48</v>
      </c>
      <c r="G54" s="444">
        <v>1.48</v>
      </c>
      <c r="H54" s="441">
        <v>6785715</v>
      </c>
      <c r="I54" s="442">
        <v>7796400</v>
      </c>
      <c r="J54" s="445">
        <v>0.38</v>
      </c>
      <c r="K54" s="446">
        <v>0.38</v>
      </c>
      <c r="L54" s="441">
        <v>0</v>
      </c>
      <c r="M54" s="442">
        <v>0</v>
      </c>
      <c r="N54" s="443">
        <v>0.16128664407509008</v>
      </c>
      <c r="O54" s="444">
        <v>4.6076779026217228E-2</v>
      </c>
      <c r="P54" s="442">
        <v>6785715</v>
      </c>
      <c r="Q54" s="447">
        <v>18134199.253076963</v>
      </c>
      <c r="R54" s="406">
        <v>18134199.253076963</v>
      </c>
      <c r="S54" s="407">
        <v>1817397.5657613089</v>
      </c>
      <c r="T54" s="408"/>
      <c r="U54" s="448">
        <v>781781.30941011757</v>
      </c>
    </row>
    <row r="55" spans="3:21" x14ac:dyDescent="0.25">
      <c r="C55" s="422"/>
      <c r="D55" s="423"/>
      <c r="E55" s="423"/>
      <c r="F55" s="425"/>
      <c r="G55" s="425"/>
      <c r="H55" s="425"/>
      <c r="I55" s="425"/>
      <c r="J55" s="425"/>
      <c r="K55" s="425"/>
      <c r="L55" s="427"/>
      <c r="M55" s="427"/>
      <c r="N55" s="425"/>
      <c r="O55" s="425"/>
      <c r="P55" s="425"/>
      <c r="Q55" s="425"/>
      <c r="R55" s="425"/>
      <c r="S55" s="429"/>
      <c r="T55" s="430"/>
      <c r="U55" s="425"/>
    </row>
    <row r="56" spans="3:21" x14ac:dyDescent="0.25">
      <c r="C56" s="449" t="s">
        <v>33</v>
      </c>
      <c r="D56" s="450"/>
      <c r="E56" s="451"/>
      <c r="F56" s="451"/>
      <c r="G56" s="451"/>
      <c r="H56" s="451"/>
      <c r="I56" s="451"/>
      <c r="J56" s="451"/>
      <c r="K56" s="451"/>
      <c r="L56" s="451"/>
      <c r="M56" s="451"/>
      <c r="N56" s="451"/>
      <c r="O56" s="451"/>
      <c r="P56" s="451"/>
      <c r="Q56" s="451"/>
      <c r="R56" s="451"/>
      <c r="S56" s="452">
        <v>84726204.970688358</v>
      </c>
      <c r="T56" s="453"/>
      <c r="U56" s="454">
        <v>14507352.374196991</v>
      </c>
    </row>
    <row r="58" spans="3:21" x14ac:dyDescent="0.25">
      <c r="C58" s="360"/>
      <c r="D58" s="455">
        <v>1</v>
      </c>
      <c r="E58" s="456"/>
      <c r="F58" s="457" t="s">
        <v>421</v>
      </c>
      <c r="G58" s="458"/>
      <c r="H58" s="457"/>
      <c r="I58" s="456"/>
      <c r="J58" s="367" t="s">
        <v>33</v>
      </c>
    </row>
    <row r="59" spans="3:21" x14ac:dyDescent="0.25">
      <c r="C59" s="368"/>
      <c r="D59" s="793" t="str">
        <f>IF(ISBLANK(INDEX(ModelGroup,D58,1)),"Not Used",INDEX(ModelGroup,D58,1))</f>
        <v>Avion/Jurupa</v>
      </c>
      <c r="E59" s="456"/>
      <c r="F59" s="385" t="s">
        <v>427</v>
      </c>
      <c r="G59" s="458"/>
      <c r="H59" s="385"/>
      <c r="I59" s="456"/>
      <c r="J59" s="459" t="s">
        <v>428</v>
      </c>
    </row>
    <row r="60" spans="3:21" x14ac:dyDescent="0.25">
      <c r="C60" s="379" t="s">
        <v>31</v>
      </c>
      <c r="D60" s="794"/>
      <c r="E60" s="456"/>
      <c r="F60" s="385" t="s">
        <v>429</v>
      </c>
      <c r="G60" s="458"/>
      <c r="H60" s="385" t="s">
        <v>420</v>
      </c>
      <c r="I60" s="456"/>
      <c r="J60" s="387" t="s">
        <v>430</v>
      </c>
    </row>
    <row r="61" spans="3:21" x14ac:dyDescent="0.25">
      <c r="C61" s="388"/>
      <c r="D61" s="795"/>
      <c r="E61" s="456"/>
      <c r="F61" s="393" t="str">
        <f>IF(Induced="Y","Benefits","Benefits*")</f>
        <v>Benefits</v>
      </c>
      <c r="G61" s="458"/>
      <c r="H61" s="393" t="s">
        <v>424</v>
      </c>
      <c r="I61" s="456"/>
      <c r="J61" s="394" t="s">
        <v>431</v>
      </c>
    </row>
    <row r="62" spans="3:21" x14ac:dyDescent="0.25">
      <c r="C62" s="432">
        <f>YearOpen</f>
        <v>2025</v>
      </c>
      <c r="D62" s="460">
        <v>3065242.69319834</v>
      </c>
      <c r="E62" s="456"/>
      <c r="F62" s="407">
        <v>3065242.69319834</v>
      </c>
      <c r="G62" s="461"/>
      <c r="H62" s="407">
        <v>4299161.4443608616</v>
      </c>
      <c r="I62" s="456"/>
      <c r="J62" s="448">
        <v>185375.51553635299</v>
      </c>
    </row>
    <row r="63" spans="3:21" x14ac:dyDescent="0.25">
      <c r="C63" s="432">
        <f>C62+1</f>
        <v>2026</v>
      </c>
      <c r="D63" s="460">
        <v>3182564.7703187019</v>
      </c>
      <c r="E63" s="456"/>
      <c r="F63" s="407">
        <v>3182564.7703187019</v>
      </c>
      <c r="G63" s="461"/>
      <c r="H63" s="407">
        <v>4776171.5475426177</v>
      </c>
      <c r="I63" s="456"/>
      <c r="J63" s="448">
        <v>205941.23256648332</v>
      </c>
    </row>
    <row r="64" spans="3:21" x14ac:dyDescent="0.25">
      <c r="C64" s="432">
        <f t="shared" ref="C64:C91" si="0">C63+1</f>
        <v>2027</v>
      </c>
      <c r="D64" s="460">
        <v>3271426.9102009367</v>
      </c>
      <c r="E64" s="456"/>
      <c r="F64" s="407">
        <v>3271426.9102009367</v>
      </c>
      <c r="G64" s="461"/>
      <c r="H64" s="407">
        <v>5253196.7340537291</v>
      </c>
      <c r="I64" s="456"/>
      <c r="J64" s="448">
        <v>226506.94959661365</v>
      </c>
    </row>
    <row r="65" spans="3:10" x14ac:dyDescent="0.25">
      <c r="C65" s="432">
        <f t="shared" si="0"/>
        <v>2028</v>
      </c>
      <c r="D65" s="460">
        <v>3335047.8677791278</v>
      </c>
      <c r="E65" s="456"/>
      <c r="F65" s="407">
        <v>3335047.8677791278</v>
      </c>
      <c r="G65" s="461"/>
      <c r="H65" s="407">
        <v>5730233.1554960106</v>
      </c>
      <c r="I65" s="456"/>
      <c r="J65" s="448">
        <v>247072.66662674397</v>
      </c>
    </row>
    <row r="66" spans="3:10" x14ac:dyDescent="0.25">
      <c r="C66" s="432">
        <f t="shared" si="0"/>
        <v>2029</v>
      </c>
      <c r="D66" s="460">
        <v>3376348.0462919711</v>
      </c>
      <c r="E66" s="456"/>
      <c r="F66" s="407">
        <v>3376348.0462919711</v>
      </c>
      <c r="G66" s="461"/>
      <c r="H66" s="407">
        <v>6207278.1700422661</v>
      </c>
      <c r="I66" s="456"/>
      <c r="J66" s="448">
        <v>267638.38365686685</v>
      </c>
    </row>
    <row r="67" spans="3:10" x14ac:dyDescent="0.25">
      <c r="C67" s="432">
        <f t="shared" si="0"/>
        <v>2030</v>
      </c>
      <c r="D67" s="460">
        <v>3397974.3750641537</v>
      </c>
      <c r="E67" s="456"/>
      <c r="F67" s="407">
        <v>3397974.3750641537</v>
      </c>
      <c r="G67" s="461"/>
      <c r="H67" s="407">
        <v>6684329.9039426129</v>
      </c>
      <c r="I67" s="456"/>
      <c r="J67" s="448">
        <v>288204.10068699718</v>
      </c>
    </row>
    <row r="68" spans="3:10" x14ac:dyDescent="0.25">
      <c r="C68" s="432">
        <f t="shared" si="0"/>
        <v>2031</v>
      </c>
      <c r="D68" s="460">
        <v>3402323.3717112257</v>
      </c>
      <c r="E68" s="456"/>
      <c r="F68" s="407">
        <v>3402323.3717112257</v>
      </c>
      <c r="G68" s="461"/>
      <c r="H68" s="407">
        <v>7161386.9913017321</v>
      </c>
      <c r="I68" s="456"/>
      <c r="J68" s="448">
        <v>308769.8177171275</v>
      </c>
    </row>
    <row r="69" spans="3:10" x14ac:dyDescent="0.25">
      <c r="C69" s="432">
        <f t="shared" si="0"/>
        <v>2032</v>
      </c>
      <c r="D69" s="460">
        <v>3391562.4453887362</v>
      </c>
      <c r="E69" s="456"/>
      <c r="F69" s="407">
        <v>3391562.4453887362</v>
      </c>
      <c r="G69" s="461"/>
      <c r="H69" s="407">
        <v>7638448.4129399136</v>
      </c>
      <c r="I69" s="456"/>
      <c r="J69" s="448">
        <v>329335.53474725783</v>
      </c>
    </row>
    <row r="70" spans="3:10" x14ac:dyDescent="0.25">
      <c r="C70" s="432">
        <f t="shared" si="0"/>
        <v>2033</v>
      </c>
      <c r="D70" s="460">
        <v>3367649.5344356801</v>
      </c>
      <c r="E70" s="456"/>
      <c r="F70" s="407">
        <v>3367649.5344356801</v>
      </c>
      <c r="G70" s="461"/>
      <c r="H70" s="407">
        <v>8115513.3929455439</v>
      </c>
      <c r="I70" s="456"/>
      <c r="J70" s="448">
        <v>349901.25177738816</v>
      </c>
    </row>
    <row r="71" spans="3:10" x14ac:dyDescent="0.25">
      <c r="C71" s="432">
        <f t="shared" si="0"/>
        <v>2034</v>
      </c>
      <c r="D71" s="460">
        <v>3332351.1846871646</v>
      </c>
      <c r="E71" s="456"/>
      <c r="F71" s="407">
        <v>3332351.1846871646</v>
      </c>
      <c r="G71" s="461"/>
      <c r="H71" s="407">
        <v>8592581.3301794361</v>
      </c>
      <c r="I71" s="456"/>
      <c r="J71" s="448">
        <v>370466.96880751848</v>
      </c>
    </row>
    <row r="72" spans="3:10" x14ac:dyDescent="0.25">
      <c r="C72" s="432">
        <f t="shared" si="0"/>
        <v>2035</v>
      </c>
      <c r="D72" s="460">
        <v>3287259.1769426274</v>
      </c>
      <c r="E72" s="456"/>
      <c r="F72" s="407">
        <v>3287259.1769426274</v>
      </c>
      <c r="G72" s="461"/>
      <c r="H72" s="407">
        <v>9069651.7516906392</v>
      </c>
      <c r="I72" s="456"/>
      <c r="J72" s="448">
        <v>391032.68583764881</v>
      </c>
    </row>
    <row r="73" spans="3:10" x14ac:dyDescent="0.25">
      <c r="C73" s="432">
        <f t="shared" si="0"/>
        <v>2036</v>
      </c>
      <c r="D73" s="460">
        <v>3233805.8093543481</v>
      </c>
      <c r="E73" s="456"/>
      <c r="F73" s="407">
        <v>3233805.8093543481</v>
      </c>
      <c r="G73" s="461"/>
      <c r="H73" s="407">
        <v>9546724.2802761234</v>
      </c>
      <c r="I73" s="456"/>
      <c r="J73" s="448">
        <v>411598.40286777914</v>
      </c>
    </row>
    <row r="74" spans="3:10" x14ac:dyDescent="0.25">
      <c r="C74" s="432">
        <f t="shared" si="0"/>
        <v>2037</v>
      </c>
      <c r="D74" s="460">
        <v>3173277.9355445616</v>
      </c>
      <c r="E74" s="456"/>
      <c r="F74" s="407">
        <v>3173277.9355445616</v>
      </c>
      <c r="G74" s="461"/>
      <c r="H74" s="407">
        <v>10023798.611417729</v>
      </c>
      <c r="I74" s="456"/>
      <c r="J74" s="448">
        <v>432164.11989790946</v>
      </c>
    </row>
    <row r="75" spans="3:10" x14ac:dyDescent="0.25">
      <c r="C75" s="432">
        <f t="shared" si="0"/>
        <v>2038</v>
      </c>
      <c r="D75" s="460">
        <v>3106829.8533597551</v>
      </c>
      <c r="E75" s="456"/>
      <c r="F75" s="407">
        <v>3106829.8533597551</v>
      </c>
      <c r="G75" s="461"/>
      <c r="H75" s="407">
        <v>10500874.496580016</v>
      </c>
      <c r="I75" s="456"/>
      <c r="J75" s="448">
        <v>452729.83692803979</v>
      </c>
    </row>
    <row r="76" spans="3:10" x14ac:dyDescent="0.25">
      <c r="C76" s="432">
        <f t="shared" si="0"/>
        <v>2039</v>
      </c>
      <c r="D76" s="460">
        <v>3035495.1329876077</v>
      </c>
      <c r="E76" s="456"/>
      <c r="F76" s="407">
        <v>3035495.1329876077</v>
      </c>
      <c r="G76" s="461"/>
      <c r="H76" s="407">
        <v>10977951.73091081</v>
      </c>
      <c r="I76" s="456"/>
      <c r="J76" s="448">
        <v>473295.55395817012</v>
      </c>
    </row>
    <row r="77" spans="3:10" x14ac:dyDescent="0.25">
      <c r="C77" s="432">
        <f t="shared" si="0"/>
        <v>2040</v>
      </c>
      <c r="D77" s="460">
        <v>2960197.4670273862</v>
      </c>
      <c r="E77" s="456"/>
      <c r="F77" s="407">
        <v>2960197.4670273862</v>
      </c>
      <c r="G77" s="461"/>
      <c r="H77" s="407">
        <v>11455030.144046821</v>
      </c>
      <c r="I77" s="456"/>
      <c r="J77" s="448">
        <v>493861.27098830044</v>
      </c>
    </row>
    <row r="78" spans="3:10" x14ac:dyDescent="0.25">
      <c r="C78" s="432">
        <f t="shared" si="0"/>
        <v>2041</v>
      </c>
      <c r="D78" s="460">
        <v>2881760.6191846398</v>
      </c>
      <c r="E78" s="456"/>
      <c r="F78" s="407">
        <v>2881760.6191846398</v>
      </c>
      <c r="G78" s="461"/>
      <c r="H78" s="407">
        <v>11932109.593149789</v>
      </c>
      <c r="I78" s="456"/>
      <c r="J78" s="448">
        <v>514426.98801843077</v>
      </c>
    </row>
    <row r="79" spans="3:10" x14ac:dyDescent="0.25">
      <c r="C79" s="432">
        <f t="shared" si="0"/>
        <v>2042</v>
      </c>
      <c r="D79" s="460">
        <v>2800917.5426335204</v>
      </c>
      <c r="E79" s="456"/>
      <c r="F79" s="407">
        <v>2800917.5426335204</v>
      </c>
      <c r="G79" s="461"/>
      <c r="H79" s="407">
        <v>12409189.957562279</v>
      </c>
      <c r="I79" s="456"/>
      <c r="J79" s="448">
        <v>534992.70504855365</v>
      </c>
    </row>
    <row r="80" spans="3:10" x14ac:dyDescent="0.25">
      <c r="C80" s="432">
        <f t="shared" si="0"/>
        <v>2043</v>
      </c>
      <c r="D80" s="460">
        <v>2718318.7337988084</v>
      </c>
      <c r="E80" s="456"/>
      <c r="F80" s="407">
        <v>2718318.7337988084</v>
      </c>
      <c r="G80" s="461"/>
      <c r="H80" s="407">
        <v>12886271.134664319</v>
      </c>
      <c r="I80" s="456"/>
      <c r="J80" s="448">
        <v>555558.42207868397</v>
      </c>
    </row>
    <row r="81" spans="3:10" x14ac:dyDescent="0.25">
      <c r="C81" s="432">
        <f t="shared" si="0"/>
        <v>2044</v>
      </c>
      <c r="D81" s="460">
        <v>2634539.8823527815</v>
      </c>
      <c r="E81" s="456"/>
      <c r="F81" s="407">
        <v>2634539.8823527815</v>
      </c>
      <c r="G81" s="461"/>
      <c r="H81" s="407">
        <v>13363353.036623372</v>
      </c>
      <c r="I81" s="456"/>
      <c r="J81" s="448">
        <v>576124.1391088143</v>
      </c>
    </row>
    <row r="82" spans="3:10" x14ac:dyDescent="0.25">
      <c r="C82" s="432">
        <f t="shared" si="0"/>
        <v>2045</v>
      </c>
      <c r="D82" s="460">
        <v>2550088.8736059684</v>
      </c>
      <c r="E82" s="456"/>
      <c r="F82" s="407">
        <v>2550088.8736059684</v>
      </c>
      <c r="G82" s="461"/>
      <c r="H82" s="407">
        <v>13840435.587823251</v>
      </c>
      <c r="I82" s="456"/>
      <c r="J82" s="448">
        <v>596689.85613894463</v>
      </c>
    </row>
    <row r="83" spans="3:10" x14ac:dyDescent="0.25">
      <c r="C83" s="432">
        <f t="shared" si="0"/>
        <v>2046</v>
      </c>
      <c r="D83" s="460">
        <v>2465412.1951751732</v>
      </c>
      <c r="E83" s="456"/>
      <c r="F83" s="407">
        <v>2465412.1951751732</v>
      </c>
      <c r="G83" s="461"/>
      <c r="H83" s="407">
        <v>14317518.722812315</v>
      </c>
      <c r="I83" s="456"/>
      <c r="J83" s="448">
        <v>617255.57316907495</v>
      </c>
    </row>
    <row r="84" spans="3:10" x14ac:dyDescent="0.25">
      <c r="C84" s="432">
        <f t="shared" si="0"/>
        <v>2047</v>
      </c>
      <c r="D84" s="460">
        <v>2380900.7958254027</v>
      </c>
      <c r="E84" s="456"/>
      <c r="F84" s="407">
        <v>2380900.7958254027</v>
      </c>
      <c r="G84" s="461"/>
      <c r="H84" s="407">
        <v>14794602.384650961</v>
      </c>
      <c r="I84" s="456"/>
      <c r="J84" s="448">
        <v>637821.29019920528</v>
      </c>
    </row>
    <row r="85" spans="3:10" x14ac:dyDescent="0.25">
      <c r="C85" s="432">
        <f t="shared" si="0"/>
        <v>2048</v>
      </c>
      <c r="D85" s="460">
        <v>2296895.4406868224</v>
      </c>
      <c r="E85" s="456"/>
      <c r="F85" s="407">
        <v>2296895.4406868224</v>
      </c>
      <c r="G85" s="461"/>
      <c r="H85" s="407">
        <v>15271686.523570348</v>
      </c>
      <c r="I85" s="456"/>
      <c r="J85" s="448">
        <v>658387.00722933561</v>
      </c>
    </row>
    <row r="86" spans="3:10" x14ac:dyDescent="0.25">
      <c r="C86" s="432">
        <f t="shared" si="0"/>
        <v>2049</v>
      </c>
      <c r="D86" s="460">
        <v>2213691.6036247439</v>
      </c>
      <c r="E86" s="456"/>
      <c r="F86" s="407">
        <v>2213691.6036247439</v>
      </c>
      <c r="G86" s="461"/>
      <c r="H86" s="407">
        <v>15748771.09587949</v>
      </c>
      <c r="I86" s="456"/>
      <c r="J86" s="448">
        <v>678952.72425946593</v>
      </c>
    </row>
    <row r="87" spans="3:10" x14ac:dyDescent="0.25">
      <c r="C87" s="432">
        <f t="shared" si="0"/>
        <v>2050</v>
      </c>
      <c r="D87" s="460">
        <v>2131543.934370094</v>
      </c>
      <c r="E87" s="456"/>
      <c r="F87" s="407">
        <v>2131543.934370094</v>
      </c>
      <c r="G87" s="461"/>
      <c r="H87" s="407">
        <v>16225856.063064413</v>
      </c>
      <c r="I87" s="456"/>
      <c r="J87" s="448">
        <v>699518.44128959626</v>
      </c>
    </row>
    <row r="88" spans="3:10" x14ac:dyDescent="0.25">
      <c r="C88" s="432">
        <f t="shared" si="0"/>
        <v>2051</v>
      </c>
      <c r="D88" s="460">
        <v>2050670.3350872265</v>
      </c>
      <c r="E88" s="456"/>
      <c r="F88" s="407">
        <v>2050670.3350872265</v>
      </c>
      <c r="G88" s="461"/>
      <c r="H88" s="407">
        <v>16702941.391042542</v>
      </c>
      <c r="I88" s="456"/>
      <c r="J88" s="448">
        <v>720084.15831972659</v>
      </c>
    </row>
    <row r="89" spans="3:10" x14ac:dyDescent="0.25">
      <c r="C89" s="432">
        <f t="shared" si="0"/>
        <v>2052</v>
      </c>
      <c r="D89" s="460">
        <v>1971255.6783444562</v>
      </c>
      <c r="E89" s="456"/>
      <c r="F89" s="407">
        <v>1971255.6783444562</v>
      </c>
      <c r="G89" s="461"/>
      <c r="H89" s="407">
        <v>17180027.049544759</v>
      </c>
      <c r="I89" s="456"/>
      <c r="J89" s="448">
        <v>740649.87534985691</v>
      </c>
    </row>
    <row r="90" spans="3:10" x14ac:dyDescent="0.25">
      <c r="C90" s="432">
        <f t="shared" si="0"/>
        <v>2053</v>
      </c>
      <c r="D90" s="460">
        <v>1893455.1959450536</v>
      </c>
      <c r="E90" s="456"/>
      <c r="F90" s="407">
        <v>1893455.1959450536</v>
      </c>
      <c r="G90" s="461"/>
      <c r="H90" s="407">
        <v>17657113.01159564</v>
      </c>
      <c r="I90" s="456"/>
      <c r="J90" s="448">
        <v>761215.59237998724</v>
      </c>
    </row>
    <row r="91" spans="3:10" x14ac:dyDescent="0.25">
      <c r="C91" s="432">
        <f t="shared" si="0"/>
        <v>2054</v>
      </c>
      <c r="D91" s="460">
        <v>1817397.5657613089</v>
      </c>
      <c r="E91" s="456"/>
      <c r="F91" s="407">
        <v>1817397.5657613089</v>
      </c>
      <c r="G91" s="461"/>
      <c r="H91" s="407">
        <v>18134199.253076963</v>
      </c>
      <c r="I91" s="456"/>
      <c r="J91" s="448">
        <v>781781.30941011757</v>
      </c>
    </row>
    <row r="92" spans="3:10" x14ac:dyDescent="0.25">
      <c r="C92" s="422"/>
      <c r="D92" s="429"/>
      <c r="E92" s="456"/>
      <c r="F92" s="429"/>
      <c r="G92" s="430"/>
      <c r="H92" s="429"/>
      <c r="I92" s="456"/>
      <c r="J92" s="429"/>
    </row>
    <row r="93" spans="3:10" x14ac:dyDescent="0.25">
      <c r="C93" s="449" t="s">
        <v>33</v>
      </c>
      <c r="D93" s="462">
        <v>84726204.970688358</v>
      </c>
      <c r="E93" s="456"/>
      <c r="F93" s="452">
        <v>84726204.970688358</v>
      </c>
      <c r="G93" s="463"/>
      <c r="H93" s="452">
        <v>336496406.90278733</v>
      </c>
      <c r="I93" s="456"/>
      <c r="J93" s="454">
        <v>14507352.374196991</v>
      </c>
    </row>
  </sheetData>
  <mergeCells count="2">
    <mergeCell ref="C1:F1"/>
    <mergeCell ref="D59:D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C1:U106"/>
  <sheetViews>
    <sheetView workbookViewId="0">
      <selection activeCell="D6" sqref="D6"/>
    </sheetView>
    <sheetView topLeftCell="A49" workbookViewId="1">
      <selection activeCell="K63" sqref="K63"/>
    </sheetView>
  </sheetViews>
  <sheetFormatPr defaultRowHeight="15.75" x14ac:dyDescent="0.25"/>
  <cols>
    <col min="2" max="2" width="9.625" customWidth="1"/>
    <col min="3" max="3" width="22.625" customWidth="1"/>
    <col min="4" max="4" width="13" customWidth="1"/>
    <col min="5" max="7" width="12" customWidth="1"/>
    <col min="8" max="8" width="13.75" customWidth="1"/>
    <col min="9" max="9" width="12" customWidth="1"/>
    <col min="10" max="10" width="14.25" customWidth="1"/>
    <col min="11" max="11" width="17.875" customWidth="1"/>
    <col min="12" max="12" width="15.75" customWidth="1"/>
    <col min="13" max="13" width="14.875" customWidth="1"/>
    <col min="14" max="14" width="14.625" customWidth="1"/>
    <col min="15" max="18" width="12" customWidth="1"/>
    <col min="19" max="22" width="12.875" customWidth="1"/>
    <col min="23" max="23" width="14" customWidth="1"/>
    <col min="24" max="24" width="13" customWidth="1"/>
    <col min="25" max="25" width="13.125" customWidth="1"/>
  </cols>
  <sheetData>
    <row r="1" spans="3:18" x14ac:dyDescent="0.25">
      <c r="D1" s="792" t="s">
        <v>9</v>
      </c>
      <c r="E1" s="792"/>
      <c r="F1" s="792"/>
      <c r="G1" s="792"/>
      <c r="H1" s="792"/>
      <c r="I1" s="792"/>
      <c r="J1" s="792"/>
      <c r="K1" s="792"/>
      <c r="L1" s="792"/>
      <c r="M1" s="792"/>
      <c r="N1" s="28"/>
      <c r="O1" s="28"/>
      <c r="P1" s="28"/>
      <c r="Q1" s="28"/>
      <c r="R1" s="28"/>
    </row>
    <row r="2" spans="3:18" ht="15.75" customHeight="1" x14ac:dyDescent="0.25">
      <c r="C2" s="26" t="s">
        <v>34</v>
      </c>
      <c r="D2" s="274">
        <v>2020</v>
      </c>
    </row>
    <row r="3" spans="3:18" ht="15.75" customHeight="1" x14ac:dyDescent="0.25">
      <c r="C3" s="282" t="s">
        <v>384</v>
      </c>
      <c r="D3" s="274"/>
    </row>
    <row r="4" spans="3:18" ht="15.75" customHeight="1" thickBot="1" x14ac:dyDescent="0.3"/>
    <row r="5" spans="3:18" ht="31.5" x14ac:dyDescent="0.25">
      <c r="C5" s="287"/>
      <c r="D5" s="277" t="s">
        <v>16</v>
      </c>
      <c r="E5" s="283" t="s">
        <v>35</v>
      </c>
      <c r="F5" s="74" t="s">
        <v>36</v>
      </c>
      <c r="G5" s="274"/>
    </row>
    <row r="6" spans="3:18" ht="32.25" thickBot="1" x14ac:dyDescent="0.3">
      <c r="C6" s="289" t="s">
        <v>328</v>
      </c>
      <c r="D6" s="286">
        <f>1000000*Notes!C55</f>
        <v>902030.55423349398</v>
      </c>
      <c r="E6" s="284">
        <f>1000000*Notes!D55</f>
        <v>310406.89459202881</v>
      </c>
      <c r="F6" s="285">
        <f>1000000*Notes!E55</f>
        <v>545423.96335652494</v>
      </c>
    </row>
    <row r="7" spans="3:18" x14ac:dyDescent="0.25">
      <c r="D7" s="274"/>
      <c r="E7" s="274"/>
      <c r="F7" s="274"/>
      <c r="G7" s="274"/>
      <c r="H7" s="274"/>
      <c r="I7" s="274"/>
      <c r="J7" s="274"/>
      <c r="K7" s="274"/>
      <c r="L7" s="274"/>
      <c r="M7" s="274"/>
      <c r="N7" s="28"/>
      <c r="O7" s="28"/>
      <c r="P7" s="28"/>
      <c r="Q7" s="28"/>
      <c r="R7" s="28"/>
    </row>
    <row r="9" spans="3:18" ht="18.75" x14ac:dyDescent="0.25">
      <c r="C9" s="523" t="s">
        <v>440</v>
      </c>
      <c r="D9" s="456"/>
      <c r="E9" s="366"/>
      <c r="F9" s="366"/>
      <c r="G9" s="366"/>
      <c r="H9" s="524"/>
      <c r="I9" s="524"/>
      <c r="J9" s="524"/>
      <c r="K9" s="524"/>
    </row>
    <row r="10" spans="3:18" ht="18.75" x14ac:dyDescent="0.25">
      <c r="C10" s="523" t="s">
        <v>439</v>
      </c>
      <c r="D10" s="456"/>
      <c r="E10" s="366"/>
      <c r="F10" s="366"/>
      <c r="G10" s="366"/>
      <c r="H10" s="524"/>
      <c r="I10" s="524"/>
      <c r="J10" s="524"/>
      <c r="K10" s="524"/>
    </row>
    <row r="12" spans="3:18" ht="18.75" x14ac:dyDescent="0.25">
      <c r="C12" s="327" t="s">
        <v>385</v>
      </c>
      <c r="D12" s="328"/>
      <c r="E12" s="329"/>
      <c r="F12" s="329"/>
      <c r="G12" s="329"/>
      <c r="H12" s="330"/>
      <c r="I12" s="330"/>
      <c r="J12" s="330"/>
      <c r="K12" s="330"/>
      <c r="L12" s="330"/>
      <c r="M12" s="329"/>
      <c r="N12" s="329"/>
      <c r="O12" s="329"/>
      <c r="P12" s="329"/>
      <c r="Q12" s="331"/>
    </row>
    <row r="13" spans="3:18" x14ac:dyDescent="0.25">
      <c r="C13" s="332"/>
      <c r="D13" s="333"/>
      <c r="E13" s="334"/>
      <c r="F13" s="334"/>
      <c r="G13" s="334"/>
      <c r="H13" s="335"/>
      <c r="I13" s="335"/>
      <c r="J13" s="335"/>
      <c r="K13" s="335"/>
      <c r="L13" s="335"/>
      <c r="M13" s="334"/>
      <c r="N13" s="334"/>
      <c r="O13" s="334"/>
      <c r="P13" s="334"/>
      <c r="Q13" s="340"/>
    </row>
    <row r="14" spans="3:18" x14ac:dyDescent="0.25">
      <c r="C14" s="341" t="s">
        <v>441</v>
      </c>
      <c r="D14" s="338"/>
      <c r="E14" s="342"/>
      <c r="F14" s="342"/>
      <c r="G14" s="343"/>
      <c r="H14" s="333"/>
      <c r="I14" s="336" t="s">
        <v>442</v>
      </c>
      <c r="J14" s="525"/>
      <c r="K14" s="526"/>
      <c r="L14" s="526"/>
      <c r="M14" s="526"/>
      <c r="N14" s="527" t="s">
        <v>443</v>
      </c>
      <c r="O14" s="338"/>
      <c r="P14" s="337"/>
      <c r="Q14" s="340"/>
    </row>
    <row r="15" spans="3:18" x14ac:dyDescent="0.25">
      <c r="C15" s="347" t="s">
        <v>444</v>
      </c>
      <c r="D15" s="333"/>
      <c r="E15" s="348" t="s">
        <v>445</v>
      </c>
      <c r="F15" s="348" t="s">
        <v>446</v>
      </c>
      <c r="G15" s="334"/>
      <c r="H15" s="334"/>
      <c r="I15" s="528" t="s">
        <v>447</v>
      </c>
      <c r="J15" s="529" t="s">
        <v>448</v>
      </c>
      <c r="K15" s="528"/>
      <c r="L15" s="530"/>
      <c r="M15" s="334"/>
      <c r="N15" s="348"/>
      <c r="O15" s="348"/>
      <c r="P15" s="348"/>
      <c r="Q15" s="340"/>
    </row>
    <row r="16" spans="3:18" x14ac:dyDescent="0.25">
      <c r="C16" s="350"/>
      <c r="D16" s="334"/>
      <c r="E16" s="334"/>
      <c r="F16" s="334"/>
      <c r="G16" s="334"/>
      <c r="H16" s="334"/>
      <c r="I16" s="333"/>
      <c r="J16" s="333"/>
      <c r="K16" s="333"/>
      <c r="L16" s="333"/>
      <c r="M16" s="333"/>
      <c r="N16" s="333"/>
      <c r="O16" s="333"/>
      <c r="P16" s="334"/>
      <c r="Q16" s="340"/>
    </row>
    <row r="17" spans="3:21" x14ac:dyDescent="0.25">
      <c r="C17" s="341" t="s">
        <v>449</v>
      </c>
      <c r="D17" s="338"/>
      <c r="E17" s="342"/>
      <c r="F17" s="342"/>
      <c r="G17" s="339"/>
      <c r="H17" s="334"/>
      <c r="I17" s="527" t="s">
        <v>450</v>
      </c>
      <c r="J17" s="531"/>
      <c r="K17" s="526"/>
      <c r="L17" s="526"/>
      <c r="M17" s="526"/>
      <c r="N17" s="526"/>
      <c r="O17" s="526"/>
      <c r="P17" s="526"/>
      <c r="Q17" s="340"/>
    </row>
    <row r="18" spans="3:21" x14ac:dyDescent="0.25">
      <c r="C18" s="532" t="s">
        <v>451</v>
      </c>
      <c r="D18" s="352"/>
      <c r="E18" s="533" t="s">
        <v>452</v>
      </c>
      <c r="F18" s="533" t="s">
        <v>453</v>
      </c>
      <c r="G18" s="354"/>
      <c r="H18" s="354"/>
      <c r="I18" s="357" t="s">
        <v>451</v>
      </c>
      <c r="J18" s="357" t="s">
        <v>454</v>
      </c>
      <c r="K18" s="357"/>
      <c r="L18" s="352"/>
      <c r="M18" s="358"/>
      <c r="N18" s="358"/>
      <c r="O18" s="358"/>
      <c r="P18" s="358"/>
      <c r="Q18" s="359"/>
    </row>
    <row r="19" spans="3:21" x14ac:dyDescent="0.25">
      <c r="C19" s="366"/>
      <c r="D19" s="534"/>
      <c r="E19" s="535"/>
      <c r="F19" s="535"/>
      <c r="G19" s="535"/>
      <c r="H19" s="366"/>
      <c r="I19" s="534"/>
      <c r="J19" s="534"/>
      <c r="K19" s="534"/>
      <c r="L19" s="534"/>
      <c r="M19" s="534"/>
      <c r="N19" s="534"/>
      <c r="O19" s="534"/>
      <c r="P19" s="534"/>
      <c r="Q19" s="456"/>
    </row>
    <row r="21" spans="3:21" x14ac:dyDescent="0.25">
      <c r="C21" s="536" t="s">
        <v>432</v>
      </c>
      <c r="D21" s="366"/>
      <c r="E21" s="366"/>
      <c r="F21" s="366"/>
      <c r="G21" s="366"/>
      <c r="H21" s="366"/>
      <c r="I21" s="469"/>
      <c r="J21" s="469"/>
      <c r="K21" s="469"/>
      <c r="L21" s="469"/>
      <c r="M21" s="469"/>
      <c r="N21" s="469"/>
      <c r="O21" s="469"/>
      <c r="P21" s="469"/>
      <c r="Q21" s="469"/>
      <c r="R21" s="366"/>
      <c r="S21" s="366"/>
      <c r="T21" s="366"/>
      <c r="U21" s="366"/>
    </row>
    <row r="22" spans="3:21" x14ac:dyDescent="0.25">
      <c r="C22" s="366"/>
      <c r="D22" s="366"/>
      <c r="E22" s="537"/>
      <c r="F22" s="537"/>
      <c r="G22" s="537"/>
      <c r="H22" s="366"/>
      <c r="I22" s="366"/>
      <c r="J22" s="366"/>
      <c r="K22" s="366"/>
      <c r="L22" s="366"/>
      <c r="M22" s="366"/>
      <c r="N22" s="366"/>
      <c r="O22" s="366"/>
      <c r="P22" s="366"/>
      <c r="Q22" s="366"/>
      <c r="R22" s="366"/>
      <c r="S22" s="366"/>
      <c r="T22" s="366"/>
      <c r="U22" s="472"/>
    </row>
    <row r="23" spans="3:21" x14ac:dyDescent="0.25">
      <c r="C23" s="360"/>
      <c r="D23" s="476" t="s">
        <v>455</v>
      </c>
      <c r="E23" s="477"/>
      <c r="F23" s="476" t="s">
        <v>404</v>
      </c>
      <c r="G23" s="538"/>
      <c r="H23" s="476" t="s">
        <v>456</v>
      </c>
      <c r="I23" s="362"/>
      <c r="J23" s="476" t="s">
        <v>426</v>
      </c>
      <c r="K23" s="362"/>
      <c r="L23" s="539"/>
      <c r="M23" s="361" t="s">
        <v>406</v>
      </c>
      <c r="N23" s="477"/>
      <c r="O23" s="361" t="s">
        <v>434</v>
      </c>
      <c r="P23" s="538"/>
      <c r="Q23" s="476" t="s">
        <v>457</v>
      </c>
      <c r="R23" s="361"/>
      <c r="S23" s="540"/>
      <c r="T23" s="480"/>
      <c r="U23" s="365"/>
    </row>
    <row r="24" spans="3:21" x14ac:dyDescent="0.25">
      <c r="C24" s="368"/>
      <c r="D24" s="371" t="s">
        <v>458</v>
      </c>
      <c r="E24" s="373"/>
      <c r="F24" s="371" t="s">
        <v>459</v>
      </c>
      <c r="G24" s="369"/>
      <c r="H24" s="371" t="s">
        <v>460</v>
      </c>
      <c r="I24" s="370"/>
      <c r="J24" s="541" t="s">
        <v>413</v>
      </c>
      <c r="K24" s="370"/>
      <c r="L24" s="542"/>
      <c r="M24" s="369" t="s">
        <v>461</v>
      </c>
      <c r="N24" s="373"/>
      <c r="O24" s="369" t="s">
        <v>436</v>
      </c>
      <c r="P24" s="369"/>
      <c r="Q24" s="543" t="s">
        <v>417</v>
      </c>
      <c r="R24" s="544"/>
      <c r="S24" s="545"/>
      <c r="T24" s="490"/>
      <c r="U24" s="378"/>
    </row>
    <row r="25" spans="3:21" x14ac:dyDescent="0.25">
      <c r="C25" s="379" t="s">
        <v>31</v>
      </c>
      <c r="D25" s="380"/>
      <c r="E25" s="381"/>
      <c r="F25" s="380"/>
      <c r="G25" s="546"/>
      <c r="H25" s="494"/>
      <c r="I25" s="381"/>
      <c r="J25" s="494"/>
      <c r="K25" s="546"/>
      <c r="L25" s="381" t="s">
        <v>462</v>
      </c>
      <c r="M25" s="380"/>
      <c r="N25" s="381"/>
      <c r="O25" s="380"/>
      <c r="P25" s="546"/>
      <c r="Q25" s="547" t="s">
        <v>463</v>
      </c>
      <c r="R25" s="548" t="s">
        <v>464</v>
      </c>
      <c r="S25" s="381" t="s">
        <v>465</v>
      </c>
      <c r="T25" s="497" t="s">
        <v>420</v>
      </c>
      <c r="U25" s="385" t="s">
        <v>421</v>
      </c>
    </row>
    <row r="26" spans="3:21" x14ac:dyDescent="0.25">
      <c r="C26" s="388"/>
      <c r="D26" s="389" t="s">
        <v>422</v>
      </c>
      <c r="E26" s="390" t="s">
        <v>100</v>
      </c>
      <c r="F26" s="389" t="s">
        <v>422</v>
      </c>
      <c r="G26" s="549" t="s">
        <v>100</v>
      </c>
      <c r="H26" s="501" t="s">
        <v>422</v>
      </c>
      <c r="I26" s="390" t="s">
        <v>100</v>
      </c>
      <c r="J26" s="501" t="s">
        <v>422</v>
      </c>
      <c r="K26" s="549" t="s">
        <v>100</v>
      </c>
      <c r="L26" s="390" t="s">
        <v>100</v>
      </c>
      <c r="M26" s="389" t="s">
        <v>422</v>
      </c>
      <c r="N26" s="390" t="s">
        <v>100</v>
      </c>
      <c r="O26" s="389" t="s">
        <v>422</v>
      </c>
      <c r="P26" s="549" t="s">
        <v>100</v>
      </c>
      <c r="Q26" s="550" t="s">
        <v>26</v>
      </c>
      <c r="R26" s="551" t="s">
        <v>26</v>
      </c>
      <c r="S26" s="390" t="s">
        <v>466</v>
      </c>
      <c r="T26" s="504" t="s">
        <v>424</v>
      </c>
      <c r="U26" s="393" t="s">
        <v>425</v>
      </c>
    </row>
    <row r="27" spans="3:21" x14ac:dyDescent="0.25">
      <c r="C27" s="395">
        <v>2020</v>
      </c>
      <c r="D27" s="396">
        <v>767595</v>
      </c>
      <c r="E27" s="397">
        <v>808110</v>
      </c>
      <c r="F27" s="396">
        <v>76650</v>
      </c>
      <c r="G27" s="397">
        <v>22995</v>
      </c>
      <c r="H27" s="552">
        <v>10</v>
      </c>
      <c r="I27" s="553">
        <v>35.1</v>
      </c>
      <c r="J27" s="396">
        <v>704450</v>
      </c>
      <c r="K27" s="554">
        <v>775990</v>
      </c>
      <c r="L27" s="555">
        <v>704450</v>
      </c>
      <c r="M27" s="556">
        <v>0.38</v>
      </c>
      <c r="N27" s="557">
        <v>0.38</v>
      </c>
      <c r="O27" s="558">
        <v>0</v>
      </c>
      <c r="P27" s="510">
        <v>0</v>
      </c>
      <c r="Q27" s="559">
        <v>56952.906107999988</v>
      </c>
      <c r="R27" s="560">
        <v>-15716.578799999999</v>
      </c>
      <c r="S27" s="561">
        <v>0</v>
      </c>
      <c r="T27" s="562">
        <v>41236.327307999993</v>
      </c>
      <c r="U27" s="407">
        <v>41236.327307999993</v>
      </c>
    </row>
    <row r="28" spans="3:21" x14ac:dyDescent="0.25">
      <c r="C28" s="410">
        <v>2054</v>
      </c>
      <c r="D28" s="411">
        <v>7393440</v>
      </c>
      <c r="E28" s="412">
        <v>8495010</v>
      </c>
      <c r="F28" s="411">
        <v>739490</v>
      </c>
      <c r="G28" s="412">
        <v>242725</v>
      </c>
      <c r="H28" s="563">
        <v>10</v>
      </c>
      <c r="I28" s="564">
        <v>35</v>
      </c>
      <c r="J28" s="411">
        <v>6785715</v>
      </c>
      <c r="K28" s="412">
        <v>7796400</v>
      </c>
      <c r="L28" s="565">
        <v>6785715</v>
      </c>
      <c r="M28" s="566">
        <v>0.38</v>
      </c>
      <c r="N28" s="567">
        <v>0.38</v>
      </c>
      <c r="O28" s="517">
        <v>0</v>
      </c>
      <c r="P28" s="518">
        <v>0</v>
      </c>
      <c r="Q28" s="568">
        <v>449083.83177600009</v>
      </c>
      <c r="R28" s="569">
        <v>-427321.0344</v>
      </c>
      <c r="S28" s="570">
        <v>0</v>
      </c>
      <c r="T28" s="562">
        <v>21762.79737600009</v>
      </c>
      <c r="U28" s="407">
        <v>2181.0532918120521</v>
      </c>
    </row>
    <row r="29" spans="3:21" x14ac:dyDescent="0.25">
      <c r="C29" s="422"/>
      <c r="D29" s="425"/>
      <c r="E29" s="425"/>
      <c r="F29" s="425"/>
      <c r="G29" s="425"/>
      <c r="H29" s="571"/>
      <c r="I29" s="572"/>
      <c r="J29" s="571"/>
      <c r="K29" s="573"/>
      <c r="L29" s="574"/>
      <c r="M29" s="573"/>
      <c r="N29" s="573"/>
      <c r="O29" s="573"/>
      <c r="P29" s="573"/>
      <c r="Q29" s="425"/>
      <c r="R29" s="425"/>
      <c r="S29" s="425"/>
      <c r="T29" s="425"/>
      <c r="U29" s="429"/>
    </row>
    <row r="30" spans="3:21" x14ac:dyDescent="0.25">
      <c r="C30" s="432">
        <v>2025</v>
      </c>
      <c r="D30" s="441">
        <v>1741983.9705882072</v>
      </c>
      <c r="E30" s="442">
        <v>1938536.4705882072</v>
      </c>
      <c r="F30" s="441">
        <v>174126.47058823705</v>
      </c>
      <c r="G30" s="575">
        <v>55308.235294118524</v>
      </c>
      <c r="H30" s="576">
        <v>10</v>
      </c>
      <c r="I30" s="577">
        <v>35</v>
      </c>
      <c r="J30" s="433">
        <v>1598753.6764706373</v>
      </c>
      <c r="K30" s="578">
        <v>1808403.2352941036</v>
      </c>
      <c r="L30" s="434">
        <v>1598753.6764706373</v>
      </c>
      <c r="M30" s="579">
        <v>0.38</v>
      </c>
      <c r="N30" s="580">
        <v>0.38</v>
      </c>
      <c r="O30" s="581">
        <v>0</v>
      </c>
      <c r="P30" s="582">
        <v>0</v>
      </c>
      <c r="Q30" s="559">
        <v>114619.218706233</v>
      </c>
      <c r="R30" s="560">
        <v>-76246.645799999998</v>
      </c>
      <c r="S30" s="561">
        <v>0</v>
      </c>
      <c r="T30" s="562">
        <v>38372.572906233007</v>
      </c>
      <c r="U30" s="407">
        <v>27359.114153373597</v>
      </c>
    </row>
    <row r="31" spans="3:21" x14ac:dyDescent="0.25">
      <c r="C31" s="432">
        <v>2026</v>
      </c>
      <c r="D31" s="441">
        <v>1936861.7647058964</v>
      </c>
      <c r="E31" s="442">
        <v>2164621.7647058964</v>
      </c>
      <c r="F31" s="441">
        <v>193621.76470588148</v>
      </c>
      <c r="G31" s="575">
        <v>61770.882352940738</v>
      </c>
      <c r="H31" s="576">
        <v>10</v>
      </c>
      <c r="I31" s="577">
        <v>35</v>
      </c>
      <c r="J31" s="441">
        <v>1777614.4117647409</v>
      </c>
      <c r="K31" s="575">
        <v>2014885.8823529482</v>
      </c>
      <c r="L31" s="442">
        <v>1777614.4117647409</v>
      </c>
      <c r="M31" s="579">
        <v>0.38</v>
      </c>
      <c r="N31" s="580">
        <v>0.38</v>
      </c>
      <c r="O31" s="583">
        <v>0</v>
      </c>
      <c r="P31" s="584">
        <v>0</v>
      </c>
      <c r="Q31" s="585">
        <v>126152.48122588353</v>
      </c>
      <c r="R31" s="586">
        <v>-88352.659199999951</v>
      </c>
      <c r="S31" s="587">
        <v>0</v>
      </c>
      <c r="T31" s="562">
        <v>37799.822025883579</v>
      </c>
      <c r="U31" s="407">
        <v>25187.617468595658</v>
      </c>
    </row>
    <row r="32" spans="3:21" x14ac:dyDescent="0.25">
      <c r="C32" s="432">
        <v>2027</v>
      </c>
      <c r="D32" s="441">
        <v>2131739.5588235259</v>
      </c>
      <c r="E32" s="442">
        <v>2390707.0588235259</v>
      </c>
      <c r="F32" s="441">
        <v>213117.05882353336</v>
      </c>
      <c r="G32" s="575">
        <v>68233.529411764815</v>
      </c>
      <c r="H32" s="576">
        <v>10</v>
      </c>
      <c r="I32" s="577">
        <v>35</v>
      </c>
      <c r="J32" s="441">
        <v>1956475.1470588446</v>
      </c>
      <c r="K32" s="575">
        <v>2221368.5294117332</v>
      </c>
      <c r="L32" s="442">
        <v>1956475.1470588446</v>
      </c>
      <c r="M32" s="579">
        <v>0.38</v>
      </c>
      <c r="N32" s="580">
        <v>0.38</v>
      </c>
      <c r="O32" s="583">
        <v>0</v>
      </c>
      <c r="P32" s="584">
        <v>0</v>
      </c>
      <c r="Q32" s="585">
        <v>137685.74374552903</v>
      </c>
      <c r="R32" s="586">
        <v>-100458.67260000005</v>
      </c>
      <c r="S32" s="587">
        <v>0</v>
      </c>
      <c r="T32" s="562">
        <v>37227.071145528986</v>
      </c>
      <c r="U32" s="407">
        <v>23183.148946997484</v>
      </c>
    </row>
    <row r="33" spans="3:21" x14ac:dyDescent="0.25">
      <c r="C33" s="432">
        <v>2028</v>
      </c>
      <c r="D33" s="441">
        <v>2326617.3529411554</v>
      </c>
      <c r="E33" s="442">
        <v>2616792.3529411554</v>
      </c>
      <c r="F33" s="441">
        <v>232612.35294117779</v>
      </c>
      <c r="G33" s="575">
        <v>74696.176470588893</v>
      </c>
      <c r="H33" s="576">
        <v>10</v>
      </c>
      <c r="I33" s="577">
        <v>35</v>
      </c>
      <c r="J33" s="441">
        <v>2135335.8823529482</v>
      </c>
      <c r="K33" s="575">
        <v>2427851.1764705777</v>
      </c>
      <c r="L33" s="442">
        <v>2135335.8823529482</v>
      </c>
      <c r="M33" s="579">
        <v>0.38</v>
      </c>
      <c r="N33" s="580">
        <v>0.38</v>
      </c>
      <c r="O33" s="583">
        <v>0</v>
      </c>
      <c r="P33" s="584">
        <v>0</v>
      </c>
      <c r="Q33" s="585">
        <v>149219.00626517474</v>
      </c>
      <c r="R33" s="586">
        <v>-112564.686</v>
      </c>
      <c r="S33" s="587">
        <v>0</v>
      </c>
      <c r="T33" s="562">
        <v>36654.320265174742</v>
      </c>
      <c r="U33" s="407">
        <v>21333.148115974494</v>
      </c>
    </row>
    <row r="34" spans="3:21" x14ac:dyDescent="0.25">
      <c r="C34" s="432">
        <v>2029</v>
      </c>
      <c r="D34" s="441">
        <v>2521495.147058785</v>
      </c>
      <c r="E34" s="442">
        <v>2842877.647058785</v>
      </c>
      <c r="F34" s="441">
        <v>252107.64705882221</v>
      </c>
      <c r="G34" s="575">
        <v>81158.82352941297</v>
      </c>
      <c r="H34" s="576">
        <v>10</v>
      </c>
      <c r="I34" s="577">
        <v>35</v>
      </c>
      <c r="J34" s="441">
        <v>2314196.6176471114</v>
      </c>
      <c r="K34" s="575">
        <v>2634333.8235294223</v>
      </c>
      <c r="L34" s="442">
        <v>2314196.6176471114</v>
      </c>
      <c r="M34" s="579">
        <v>0.38</v>
      </c>
      <c r="N34" s="580">
        <v>0.38</v>
      </c>
      <c r="O34" s="583">
        <v>0</v>
      </c>
      <c r="P34" s="584">
        <v>0</v>
      </c>
      <c r="Q34" s="585">
        <v>160752.26878482039</v>
      </c>
      <c r="R34" s="586">
        <v>-124670.6994</v>
      </c>
      <c r="S34" s="587">
        <v>0</v>
      </c>
      <c r="T34" s="562">
        <v>36081.569384820395</v>
      </c>
      <c r="U34" s="407">
        <v>19625.983073794974</v>
      </c>
    </row>
    <row r="35" spans="3:21" x14ac:dyDescent="0.25">
      <c r="C35" s="432">
        <v>2030</v>
      </c>
      <c r="D35" s="441">
        <v>2716372.9411764741</v>
      </c>
      <c r="E35" s="442">
        <v>3068962.9411764741</v>
      </c>
      <c r="F35" s="441">
        <v>271602.94117647409</v>
      </c>
      <c r="G35" s="575">
        <v>87621.470588235185</v>
      </c>
      <c r="H35" s="576">
        <v>10</v>
      </c>
      <c r="I35" s="577">
        <v>35</v>
      </c>
      <c r="J35" s="441">
        <v>2493057.352941215</v>
      </c>
      <c r="K35" s="575">
        <v>2840816.4705882072</v>
      </c>
      <c r="L35" s="442">
        <v>2493057.352941215</v>
      </c>
      <c r="M35" s="579">
        <v>0.38</v>
      </c>
      <c r="N35" s="580">
        <v>0.38</v>
      </c>
      <c r="O35" s="583">
        <v>0</v>
      </c>
      <c r="P35" s="584">
        <v>0</v>
      </c>
      <c r="Q35" s="585">
        <v>172285.5313044709</v>
      </c>
      <c r="R35" s="586">
        <v>-136776.71279999995</v>
      </c>
      <c r="S35" s="587">
        <v>0</v>
      </c>
      <c r="T35" s="562">
        <v>35508.818504470953</v>
      </c>
      <c r="U35" s="407">
        <v>18050.882751287976</v>
      </c>
    </row>
    <row r="36" spans="3:21" x14ac:dyDescent="0.25">
      <c r="C36" s="432">
        <v>2031</v>
      </c>
      <c r="D36" s="441">
        <v>2911250.7352941036</v>
      </c>
      <c r="E36" s="442">
        <v>3295048.2352941036</v>
      </c>
      <c r="F36" s="441">
        <v>291098.23529411852</v>
      </c>
      <c r="G36" s="575">
        <v>94084.117647059262</v>
      </c>
      <c r="H36" s="576">
        <v>10</v>
      </c>
      <c r="I36" s="577">
        <v>35</v>
      </c>
      <c r="J36" s="441">
        <v>2671918.0882353187</v>
      </c>
      <c r="K36" s="575">
        <v>3047299.1176470518</v>
      </c>
      <c r="L36" s="442">
        <v>2671918.0882353187</v>
      </c>
      <c r="M36" s="579">
        <v>0.38</v>
      </c>
      <c r="N36" s="580">
        <v>0.38</v>
      </c>
      <c r="O36" s="583">
        <v>0</v>
      </c>
      <c r="P36" s="584">
        <v>0</v>
      </c>
      <c r="Q36" s="585">
        <v>183818.7938241165</v>
      </c>
      <c r="R36" s="586">
        <v>-148882.7262</v>
      </c>
      <c r="S36" s="587">
        <v>0</v>
      </c>
      <c r="T36" s="562">
        <v>34936.067624116491</v>
      </c>
      <c r="U36" s="407">
        <v>16597.874062327333</v>
      </c>
    </row>
    <row r="37" spans="3:21" x14ac:dyDescent="0.25">
      <c r="C37" s="432">
        <v>2032</v>
      </c>
      <c r="D37" s="441">
        <v>3106128.5294117332</v>
      </c>
      <c r="E37" s="442">
        <v>3521133.5294117332</v>
      </c>
      <c r="F37" s="441">
        <v>310593.52941176295</v>
      </c>
      <c r="G37" s="575">
        <v>100546.76470588334</v>
      </c>
      <c r="H37" s="576">
        <v>10</v>
      </c>
      <c r="I37" s="577">
        <v>35</v>
      </c>
      <c r="J37" s="441">
        <v>2850778.8235294223</v>
      </c>
      <c r="K37" s="575">
        <v>3253781.7647058964</v>
      </c>
      <c r="L37" s="442">
        <v>2850778.8235294223</v>
      </c>
      <c r="M37" s="579">
        <v>0.38</v>
      </c>
      <c r="N37" s="580">
        <v>0.38</v>
      </c>
      <c r="O37" s="583">
        <v>0</v>
      </c>
      <c r="P37" s="584">
        <v>0</v>
      </c>
      <c r="Q37" s="585">
        <v>195352.05634376209</v>
      </c>
      <c r="R37" s="586">
        <v>-160988.7396</v>
      </c>
      <c r="S37" s="587">
        <v>0</v>
      </c>
      <c r="T37" s="562">
        <v>34363.316743762087</v>
      </c>
      <c r="U37" s="407">
        <v>15257.723593407769</v>
      </c>
    </row>
    <row r="38" spans="3:21" x14ac:dyDescent="0.25">
      <c r="C38" s="432">
        <v>2033</v>
      </c>
      <c r="D38" s="441">
        <v>3301006.3235294223</v>
      </c>
      <c r="E38" s="442">
        <v>3747218.8235294223</v>
      </c>
      <c r="F38" s="441">
        <v>330088.82352941483</v>
      </c>
      <c r="G38" s="575">
        <v>107009.41176470555</v>
      </c>
      <c r="H38" s="576">
        <v>10</v>
      </c>
      <c r="I38" s="577">
        <v>35</v>
      </c>
      <c r="J38" s="441">
        <v>3029639.5588235259</v>
      </c>
      <c r="K38" s="575">
        <v>3460264.4117646813</v>
      </c>
      <c r="L38" s="442">
        <v>3029639.5588235259</v>
      </c>
      <c r="M38" s="579">
        <v>0.38</v>
      </c>
      <c r="N38" s="580">
        <v>0.38</v>
      </c>
      <c r="O38" s="583">
        <v>0</v>
      </c>
      <c r="P38" s="584">
        <v>0</v>
      </c>
      <c r="Q38" s="585">
        <v>206885.3188634126</v>
      </c>
      <c r="R38" s="586">
        <v>-173094.753</v>
      </c>
      <c r="S38" s="587">
        <v>0</v>
      </c>
      <c r="T38" s="562">
        <v>33790.565863412601</v>
      </c>
      <c r="U38" s="407">
        <v>14021.883507352277</v>
      </c>
    </row>
    <row r="39" spans="3:21" x14ac:dyDescent="0.25">
      <c r="C39" s="432">
        <v>2034</v>
      </c>
      <c r="D39" s="441">
        <v>3495884.1176470518</v>
      </c>
      <c r="E39" s="442">
        <v>3973304.1176470518</v>
      </c>
      <c r="F39" s="441">
        <v>349584.11764705926</v>
      </c>
      <c r="G39" s="575">
        <v>113472.05882352963</v>
      </c>
      <c r="H39" s="576">
        <v>10</v>
      </c>
      <c r="I39" s="577">
        <v>35</v>
      </c>
      <c r="J39" s="441">
        <v>3208500.2941176891</v>
      </c>
      <c r="K39" s="575">
        <v>3666747.0588235259</v>
      </c>
      <c r="L39" s="442">
        <v>3208500.2941176891</v>
      </c>
      <c r="M39" s="579">
        <v>0.38</v>
      </c>
      <c r="N39" s="580">
        <v>0.38</v>
      </c>
      <c r="O39" s="583">
        <v>0</v>
      </c>
      <c r="P39" s="584">
        <v>0</v>
      </c>
      <c r="Q39" s="585">
        <v>218418.58138305828</v>
      </c>
      <c r="R39" s="586">
        <v>-185200.76639999991</v>
      </c>
      <c r="S39" s="587">
        <v>0</v>
      </c>
      <c r="T39" s="562">
        <v>33217.814983058372</v>
      </c>
      <c r="U39" s="407">
        <v>12882.441359353656</v>
      </c>
    </row>
    <row r="40" spans="3:21" x14ac:dyDescent="0.25">
      <c r="C40" s="432">
        <v>2035</v>
      </c>
      <c r="D40" s="441">
        <v>3690761.9117646813</v>
      </c>
      <c r="E40" s="442">
        <v>4199389.4117646813</v>
      </c>
      <c r="F40" s="441">
        <v>369079.41176470369</v>
      </c>
      <c r="G40" s="575">
        <v>119934.70588235371</v>
      </c>
      <c r="H40" s="576">
        <v>10</v>
      </c>
      <c r="I40" s="577">
        <v>35</v>
      </c>
      <c r="J40" s="441">
        <v>3387361.0294117928</v>
      </c>
      <c r="K40" s="575">
        <v>3873229.7058823705</v>
      </c>
      <c r="L40" s="442">
        <v>3387361.0294117928</v>
      </c>
      <c r="M40" s="579">
        <v>0.38</v>
      </c>
      <c r="N40" s="580">
        <v>0.38</v>
      </c>
      <c r="O40" s="583">
        <v>0</v>
      </c>
      <c r="P40" s="584">
        <v>0</v>
      </c>
      <c r="Q40" s="585">
        <v>229951.84390270387</v>
      </c>
      <c r="R40" s="586">
        <v>-197306.7797999999</v>
      </c>
      <c r="S40" s="587">
        <v>0</v>
      </c>
      <c r="T40" s="562">
        <v>32645.064102703967</v>
      </c>
      <c r="U40" s="407">
        <v>11832.073544994733</v>
      </c>
    </row>
    <row r="41" spans="3:21" x14ac:dyDescent="0.25">
      <c r="C41" s="432">
        <v>2036</v>
      </c>
      <c r="D41" s="441">
        <v>3885639.7058823109</v>
      </c>
      <c r="E41" s="442">
        <v>4425474.7058823109</v>
      </c>
      <c r="F41" s="441">
        <v>388574.70588235557</v>
      </c>
      <c r="G41" s="575">
        <v>126397.35294117779</v>
      </c>
      <c r="H41" s="576">
        <v>10</v>
      </c>
      <c r="I41" s="577">
        <v>35</v>
      </c>
      <c r="J41" s="441">
        <v>3566221.7647058964</v>
      </c>
      <c r="K41" s="575">
        <v>4079712.3529411554</v>
      </c>
      <c r="L41" s="442">
        <v>3566221.7647058964</v>
      </c>
      <c r="M41" s="579">
        <v>0.38</v>
      </c>
      <c r="N41" s="580">
        <v>0.38</v>
      </c>
      <c r="O41" s="583">
        <v>0</v>
      </c>
      <c r="P41" s="584">
        <v>0</v>
      </c>
      <c r="Q41" s="585">
        <v>241485.10642234943</v>
      </c>
      <c r="R41" s="586">
        <v>-209412.79320000007</v>
      </c>
      <c r="S41" s="587">
        <v>0</v>
      </c>
      <c r="T41" s="562">
        <v>32072.313222349359</v>
      </c>
      <c r="U41" s="407">
        <v>10864.002119779017</v>
      </c>
    </row>
    <row r="42" spans="3:21" x14ac:dyDescent="0.25">
      <c r="C42" s="432">
        <v>2037</v>
      </c>
      <c r="D42" s="441">
        <v>4080517.5</v>
      </c>
      <c r="E42" s="442">
        <v>4651560</v>
      </c>
      <c r="F42" s="441">
        <v>408070</v>
      </c>
      <c r="G42" s="575">
        <v>132860</v>
      </c>
      <c r="H42" s="576">
        <v>10</v>
      </c>
      <c r="I42" s="577">
        <v>35</v>
      </c>
      <c r="J42" s="441">
        <v>3745082.5</v>
      </c>
      <c r="K42" s="575">
        <v>4286195</v>
      </c>
      <c r="L42" s="442">
        <v>3745082.5</v>
      </c>
      <c r="M42" s="579">
        <v>0.38</v>
      </c>
      <c r="N42" s="580">
        <v>0.38</v>
      </c>
      <c r="O42" s="583">
        <v>0</v>
      </c>
      <c r="P42" s="584">
        <v>0</v>
      </c>
      <c r="Q42" s="585">
        <v>253018.36894199986</v>
      </c>
      <c r="R42" s="586">
        <v>-221518.80660000007</v>
      </c>
      <c r="S42" s="587">
        <v>0</v>
      </c>
      <c r="T42" s="562">
        <v>31499.562341999786</v>
      </c>
      <c r="U42" s="407">
        <v>9971.9547483048209</v>
      </c>
    </row>
    <row r="43" spans="3:21" x14ac:dyDescent="0.25">
      <c r="C43" s="432">
        <v>2038</v>
      </c>
      <c r="D43" s="441">
        <v>4275395.2941176295</v>
      </c>
      <c r="E43" s="442">
        <v>4877645.2941176295</v>
      </c>
      <c r="F43" s="441">
        <v>427565.29411764443</v>
      </c>
      <c r="G43" s="575">
        <v>139322.64705882408</v>
      </c>
      <c r="H43" s="576">
        <v>10</v>
      </c>
      <c r="I43" s="577">
        <v>35</v>
      </c>
      <c r="J43" s="441">
        <v>3923943.2352941632</v>
      </c>
      <c r="K43" s="575">
        <v>4492677.6470588446</v>
      </c>
      <c r="L43" s="442">
        <v>3923943.2352941632</v>
      </c>
      <c r="M43" s="579">
        <v>0.38</v>
      </c>
      <c r="N43" s="580">
        <v>0.38</v>
      </c>
      <c r="O43" s="583">
        <v>0</v>
      </c>
      <c r="P43" s="584">
        <v>0</v>
      </c>
      <c r="Q43" s="585">
        <v>264551.63146164559</v>
      </c>
      <c r="R43" s="586">
        <v>-233624.82</v>
      </c>
      <c r="S43" s="587">
        <v>0</v>
      </c>
      <c r="T43" s="562">
        <v>30926.811461645586</v>
      </c>
      <c r="U43" s="407">
        <v>9150.1275583821553</v>
      </c>
    </row>
    <row r="44" spans="3:21" x14ac:dyDescent="0.25">
      <c r="C44" s="432">
        <v>2039</v>
      </c>
      <c r="D44" s="441">
        <v>4470273.0882352591</v>
      </c>
      <c r="E44" s="442">
        <v>5103730.5882352591</v>
      </c>
      <c r="F44" s="441">
        <v>447060.58823529631</v>
      </c>
      <c r="G44" s="575">
        <v>145785.29411764815</v>
      </c>
      <c r="H44" s="576">
        <v>10</v>
      </c>
      <c r="I44" s="577">
        <v>35</v>
      </c>
      <c r="J44" s="441">
        <v>4102803.9705882668</v>
      </c>
      <c r="K44" s="575">
        <v>4699160.2941176295</v>
      </c>
      <c r="L44" s="442">
        <v>4102803.9705882668</v>
      </c>
      <c r="M44" s="579">
        <v>0.38</v>
      </c>
      <c r="N44" s="580">
        <v>0.38</v>
      </c>
      <c r="O44" s="583">
        <v>0</v>
      </c>
      <c r="P44" s="584">
        <v>0</v>
      </c>
      <c r="Q44" s="585">
        <v>276084.89398129133</v>
      </c>
      <c r="R44" s="586">
        <v>-245730.83339999989</v>
      </c>
      <c r="S44" s="587">
        <v>0</v>
      </c>
      <c r="T44" s="562">
        <v>30354.060581291444</v>
      </c>
      <c r="U44" s="407">
        <v>8393.1506914429301</v>
      </c>
    </row>
    <row r="45" spans="3:21" x14ac:dyDescent="0.25">
      <c r="C45" s="432">
        <v>2040</v>
      </c>
      <c r="D45" s="441">
        <v>4665150.8823529482</v>
      </c>
      <c r="E45" s="442">
        <v>5329815.8823529482</v>
      </c>
      <c r="F45" s="441">
        <v>466555.88235294074</v>
      </c>
      <c r="G45" s="575">
        <v>152247.94117647037</v>
      </c>
      <c r="H45" s="576">
        <v>10</v>
      </c>
      <c r="I45" s="577">
        <v>35</v>
      </c>
      <c r="J45" s="441">
        <v>4281664.7058823705</v>
      </c>
      <c r="K45" s="575">
        <v>4905642.9411764741</v>
      </c>
      <c r="L45" s="442">
        <v>4281664.7058823705</v>
      </c>
      <c r="M45" s="579">
        <v>0.38</v>
      </c>
      <c r="N45" s="580">
        <v>0.38</v>
      </c>
      <c r="O45" s="583">
        <v>0</v>
      </c>
      <c r="P45" s="584">
        <v>0</v>
      </c>
      <c r="Q45" s="585">
        <v>287618.15650094161</v>
      </c>
      <c r="R45" s="586">
        <v>-257836.84680000017</v>
      </c>
      <c r="S45" s="587">
        <v>0</v>
      </c>
      <c r="T45" s="562">
        <v>29781.309700941434</v>
      </c>
      <c r="U45" s="407">
        <v>7696.0563554082801</v>
      </c>
    </row>
    <row r="46" spans="3:21" x14ac:dyDescent="0.25">
      <c r="C46" s="432">
        <v>2041</v>
      </c>
      <c r="D46" s="441">
        <v>4860028.6764705777</v>
      </c>
      <c r="E46" s="442">
        <v>5555901.1764705777</v>
      </c>
      <c r="F46" s="441">
        <v>486051.17647059262</v>
      </c>
      <c r="G46" s="575">
        <v>158710.58823529445</v>
      </c>
      <c r="H46" s="576">
        <v>10</v>
      </c>
      <c r="I46" s="577">
        <v>35</v>
      </c>
      <c r="J46" s="441">
        <v>4460525.4411764741</v>
      </c>
      <c r="K46" s="575">
        <v>5112125.5882352591</v>
      </c>
      <c r="L46" s="442">
        <v>4460525.4411764741</v>
      </c>
      <c r="M46" s="579">
        <v>0.38</v>
      </c>
      <c r="N46" s="580">
        <v>0.38</v>
      </c>
      <c r="O46" s="583">
        <v>0</v>
      </c>
      <c r="P46" s="584">
        <v>0</v>
      </c>
      <c r="Q46" s="585">
        <v>299151.41902058735</v>
      </c>
      <c r="R46" s="586">
        <v>-269942.86019999994</v>
      </c>
      <c r="S46" s="587">
        <v>0</v>
      </c>
      <c r="T46" s="562">
        <v>29208.558820587408</v>
      </c>
      <c r="U46" s="407">
        <v>7054.2492000433895</v>
      </c>
    </row>
    <row r="47" spans="3:21" x14ac:dyDescent="0.25">
      <c r="C47" s="432">
        <v>2042</v>
      </c>
      <c r="D47" s="441">
        <v>5054906.4705882072</v>
      </c>
      <c r="E47" s="442">
        <v>5781986.4705882072</v>
      </c>
      <c r="F47" s="441">
        <v>505546.47058823705</v>
      </c>
      <c r="G47" s="575">
        <v>165173.23529411852</v>
      </c>
      <c r="H47" s="576">
        <v>10</v>
      </c>
      <c r="I47" s="577">
        <v>35</v>
      </c>
      <c r="J47" s="441">
        <v>4639386.1764706373</v>
      </c>
      <c r="K47" s="575">
        <v>5318608.2352941036</v>
      </c>
      <c r="L47" s="442">
        <v>4639386.1764706373</v>
      </c>
      <c r="M47" s="579">
        <v>0.38</v>
      </c>
      <c r="N47" s="580">
        <v>0.38</v>
      </c>
      <c r="O47" s="583">
        <v>0</v>
      </c>
      <c r="P47" s="584">
        <v>0</v>
      </c>
      <c r="Q47" s="585">
        <v>310684.68154023297</v>
      </c>
      <c r="R47" s="586">
        <v>-282048.87359999999</v>
      </c>
      <c r="S47" s="587">
        <v>0</v>
      </c>
      <c r="T47" s="562">
        <v>28635.807940232975</v>
      </c>
      <c r="U47" s="407">
        <v>6463.47884765872</v>
      </c>
    </row>
    <row r="48" spans="3:21" x14ac:dyDescent="0.25">
      <c r="C48" s="432">
        <v>2043</v>
      </c>
      <c r="D48" s="441">
        <v>5249784.2647058964</v>
      </c>
      <c r="E48" s="442">
        <v>6008071.7647058964</v>
      </c>
      <c r="F48" s="441">
        <v>525041.76470588148</v>
      </c>
      <c r="G48" s="575">
        <v>171635.88235294074</v>
      </c>
      <c r="H48" s="576">
        <v>10</v>
      </c>
      <c r="I48" s="577">
        <v>35</v>
      </c>
      <c r="J48" s="441">
        <v>4818246.9117647409</v>
      </c>
      <c r="K48" s="575">
        <v>5525090.8823529482</v>
      </c>
      <c r="L48" s="442">
        <v>4818246.9117647409</v>
      </c>
      <c r="M48" s="579">
        <v>0.38</v>
      </c>
      <c r="N48" s="580">
        <v>0.38</v>
      </c>
      <c r="O48" s="583">
        <v>0</v>
      </c>
      <c r="P48" s="584">
        <v>0</v>
      </c>
      <c r="Q48" s="585">
        <v>322217.94405988336</v>
      </c>
      <c r="R48" s="586">
        <v>-294154.88699999999</v>
      </c>
      <c r="S48" s="587">
        <v>0</v>
      </c>
      <c r="T48" s="562">
        <v>28063.057059883373</v>
      </c>
      <c r="U48" s="407">
        <v>5919.8144239212488</v>
      </c>
    </row>
    <row r="49" spans="3:21" x14ac:dyDescent="0.25">
      <c r="C49" s="432">
        <v>2044</v>
      </c>
      <c r="D49" s="441">
        <v>5444662.0588235259</v>
      </c>
      <c r="E49" s="442">
        <v>6234157.0588235259</v>
      </c>
      <c r="F49" s="441">
        <v>544537.05882353336</v>
      </c>
      <c r="G49" s="575">
        <v>178098.52941176482</v>
      </c>
      <c r="H49" s="576">
        <v>10</v>
      </c>
      <c r="I49" s="577">
        <v>35</v>
      </c>
      <c r="J49" s="441">
        <v>4997107.6470588446</v>
      </c>
      <c r="K49" s="575">
        <v>5731573.5294117332</v>
      </c>
      <c r="L49" s="442">
        <v>4997107.6470588446</v>
      </c>
      <c r="M49" s="579">
        <v>0.38</v>
      </c>
      <c r="N49" s="580">
        <v>0.38</v>
      </c>
      <c r="O49" s="583">
        <v>0</v>
      </c>
      <c r="P49" s="584">
        <v>0</v>
      </c>
      <c r="Q49" s="585">
        <v>333751.20657952898</v>
      </c>
      <c r="R49" s="586">
        <v>-306260.90040000016</v>
      </c>
      <c r="S49" s="587">
        <v>0</v>
      </c>
      <c r="T49" s="562">
        <v>27490.306179528823</v>
      </c>
      <c r="U49" s="407">
        <v>5419.6209446516168</v>
      </c>
    </row>
    <row r="50" spans="3:21" x14ac:dyDescent="0.25">
      <c r="C50" s="432">
        <v>2045</v>
      </c>
      <c r="D50" s="441">
        <v>5639539.8529411554</v>
      </c>
      <c r="E50" s="442">
        <v>6460242.3529411554</v>
      </c>
      <c r="F50" s="441">
        <v>564032.35294117779</v>
      </c>
      <c r="G50" s="575">
        <v>184561.17647058889</v>
      </c>
      <c r="H50" s="576">
        <v>10</v>
      </c>
      <c r="I50" s="577">
        <v>35</v>
      </c>
      <c r="J50" s="441">
        <v>5175968.3823529482</v>
      </c>
      <c r="K50" s="575">
        <v>5938056.1764705777</v>
      </c>
      <c r="L50" s="442">
        <v>5175968.3823529482</v>
      </c>
      <c r="M50" s="579">
        <v>0.38</v>
      </c>
      <c r="N50" s="580">
        <v>0.38</v>
      </c>
      <c r="O50" s="583">
        <v>0</v>
      </c>
      <c r="P50" s="584">
        <v>0</v>
      </c>
      <c r="Q50" s="585">
        <v>345284.4690991746</v>
      </c>
      <c r="R50" s="586">
        <v>-318366.91379999998</v>
      </c>
      <c r="S50" s="587">
        <v>0</v>
      </c>
      <c r="T50" s="562">
        <v>26917.555299174623</v>
      </c>
      <c r="U50" s="407">
        <v>4959.5374247823256</v>
      </c>
    </row>
    <row r="51" spans="3:21" x14ac:dyDescent="0.25">
      <c r="C51" s="432">
        <v>2046</v>
      </c>
      <c r="D51" s="441">
        <v>5834417.647058785</v>
      </c>
      <c r="E51" s="442">
        <v>6686327.647058785</v>
      </c>
      <c r="F51" s="441">
        <v>583527.64705882221</v>
      </c>
      <c r="G51" s="575">
        <v>191023.82352941297</v>
      </c>
      <c r="H51" s="576">
        <v>10</v>
      </c>
      <c r="I51" s="577">
        <v>35</v>
      </c>
      <c r="J51" s="441">
        <v>5354829.1176471114</v>
      </c>
      <c r="K51" s="575">
        <v>6144538.8235294223</v>
      </c>
      <c r="L51" s="442">
        <v>5354829.1176471114</v>
      </c>
      <c r="M51" s="579">
        <v>0.38</v>
      </c>
      <c r="N51" s="580">
        <v>0.38</v>
      </c>
      <c r="O51" s="583">
        <v>0</v>
      </c>
      <c r="P51" s="584">
        <v>0</v>
      </c>
      <c r="Q51" s="585">
        <v>356817.73161882034</v>
      </c>
      <c r="R51" s="586">
        <v>-330472.92719999998</v>
      </c>
      <c r="S51" s="587">
        <v>0</v>
      </c>
      <c r="T51" s="562">
        <v>26344.804418820364</v>
      </c>
      <c r="U51" s="407">
        <v>4536.4565851887055</v>
      </c>
    </row>
    <row r="52" spans="3:21" x14ac:dyDescent="0.25">
      <c r="C52" s="432">
        <v>2047</v>
      </c>
      <c r="D52" s="441">
        <v>6029295.4411764741</v>
      </c>
      <c r="E52" s="442">
        <v>6912412.9411764741</v>
      </c>
      <c r="F52" s="441">
        <v>603022.94117647409</v>
      </c>
      <c r="G52" s="575">
        <v>197486.47058823518</v>
      </c>
      <c r="H52" s="576">
        <v>10</v>
      </c>
      <c r="I52" s="577">
        <v>35</v>
      </c>
      <c r="J52" s="441">
        <v>5533689.852941215</v>
      </c>
      <c r="K52" s="575">
        <v>6351021.4705882072</v>
      </c>
      <c r="L52" s="442">
        <v>5533689.852941215</v>
      </c>
      <c r="M52" s="579">
        <v>0.38</v>
      </c>
      <c r="N52" s="580">
        <v>0.38</v>
      </c>
      <c r="O52" s="583">
        <v>0</v>
      </c>
      <c r="P52" s="584">
        <v>0</v>
      </c>
      <c r="Q52" s="585">
        <v>368350.99413847091</v>
      </c>
      <c r="R52" s="586">
        <v>-342578.94059999997</v>
      </c>
      <c r="S52" s="587">
        <v>0</v>
      </c>
      <c r="T52" s="562">
        <v>25772.053538470936</v>
      </c>
      <c r="U52" s="407">
        <v>4147.5060420319624</v>
      </c>
    </row>
    <row r="53" spans="3:21" x14ac:dyDescent="0.25">
      <c r="C53" s="432">
        <v>2048</v>
      </c>
      <c r="D53" s="441">
        <v>6224173.2352941036</v>
      </c>
      <c r="E53" s="442">
        <v>7138498.2352941036</v>
      </c>
      <c r="F53" s="441">
        <v>622518.23529411852</v>
      </c>
      <c r="G53" s="575">
        <v>203949.11764705926</v>
      </c>
      <c r="H53" s="576">
        <v>10</v>
      </c>
      <c r="I53" s="577">
        <v>35</v>
      </c>
      <c r="J53" s="441">
        <v>5712550.5882353187</v>
      </c>
      <c r="K53" s="575">
        <v>6557504.1176470518</v>
      </c>
      <c r="L53" s="442">
        <v>5712550.5882353187</v>
      </c>
      <c r="M53" s="579">
        <v>0.38</v>
      </c>
      <c r="N53" s="580">
        <v>0.38</v>
      </c>
      <c r="O53" s="583">
        <v>0</v>
      </c>
      <c r="P53" s="584">
        <v>0</v>
      </c>
      <c r="Q53" s="585">
        <v>379884.25665811636</v>
      </c>
      <c r="R53" s="586">
        <v>-354684.95400000014</v>
      </c>
      <c r="S53" s="587">
        <v>0</v>
      </c>
      <c r="T53" s="562">
        <v>25199.302658116212</v>
      </c>
      <c r="U53" s="407">
        <v>3790.0308714811626</v>
      </c>
    </row>
    <row r="54" spans="3:21" x14ac:dyDescent="0.25">
      <c r="C54" s="432">
        <v>2049</v>
      </c>
      <c r="D54" s="441">
        <v>6419051.0294117332</v>
      </c>
      <c r="E54" s="442">
        <v>7364583.5294117332</v>
      </c>
      <c r="F54" s="441">
        <v>642013.52941176295</v>
      </c>
      <c r="G54" s="575">
        <v>210411.76470588334</v>
      </c>
      <c r="H54" s="576">
        <v>10</v>
      </c>
      <c r="I54" s="577">
        <v>35</v>
      </c>
      <c r="J54" s="441">
        <v>5891411.3235294223</v>
      </c>
      <c r="K54" s="575">
        <v>6763986.7647058964</v>
      </c>
      <c r="L54" s="442">
        <v>5891411.3235294223</v>
      </c>
      <c r="M54" s="579">
        <v>0.38</v>
      </c>
      <c r="N54" s="580">
        <v>0.38</v>
      </c>
      <c r="O54" s="583">
        <v>0</v>
      </c>
      <c r="P54" s="584">
        <v>0</v>
      </c>
      <c r="Q54" s="585">
        <v>391417.51917776203</v>
      </c>
      <c r="R54" s="586">
        <v>-366790.96739999985</v>
      </c>
      <c r="S54" s="587">
        <v>0</v>
      </c>
      <c r="T54" s="562">
        <v>24626.551777762186</v>
      </c>
      <c r="U54" s="407">
        <v>3461.5774503780567</v>
      </c>
    </row>
    <row r="55" spans="3:21" x14ac:dyDescent="0.25">
      <c r="C55" s="432">
        <v>2050</v>
      </c>
      <c r="D55" s="441">
        <v>6613928.8235294223</v>
      </c>
      <c r="E55" s="442">
        <v>7590668.8235294223</v>
      </c>
      <c r="F55" s="441">
        <v>661508.82352941483</v>
      </c>
      <c r="G55" s="575">
        <v>216874.41176470555</v>
      </c>
      <c r="H55" s="576">
        <v>10</v>
      </c>
      <c r="I55" s="577">
        <v>35</v>
      </c>
      <c r="J55" s="441">
        <v>6070272.0588235259</v>
      </c>
      <c r="K55" s="575">
        <v>6970469.4117646813</v>
      </c>
      <c r="L55" s="442">
        <v>6070272.0588235259</v>
      </c>
      <c r="M55" s="579">
        <v>0.38</v>
      </c>
      <c r="N55" s="580">
        <v>0.38</v>
      </c>
      <c r="O55" s="583">
        <v>0</v>
      </c>
      <c r="P55" s="584">
        <v>0</v>
      </c>
      <c r="Q55" s="585">
        <v>402950.7816974126</v>
      </c>
      <c r="R55" s="586">
        <v>-378896.98079999996</v>
      </c>
      <c r="S55" s="587">
        <v>0</v>
      </c>
      <c r="T55" s="562">
        <v>24053.800897412642</v>
      </c>
      <c r="U55" s="407">
        <v>3159.8784805035839</v>
      </c>
    </row>
    <row r="56" spans="3:21" x14ac:dyDescent="0.25">
      <c r="C56" s="432">
        <v>2051</v>
      </c>
      <c r="D56" s="441">
        <v>6808806.6176470518</v>
      </c>
      <c r="E56" s="442">
        <v>7816754.1176470518</v>
      </c>
      <c r="F56" s="441">
        <v>681004.11764705926</v>
      </c>
      <c r="G56" s="575">
        <v>223337.05882352963</v>
      </c>
      <c r="H56" s="576">
        <v>10</v>
      </c>
      <c r="I56" s="577">
        <v>35</v>
      </c>
      <c r="J56" s="441">
        <v>6249132.7941176891</v>
      </c>
      <c r="K56" s="575">
        <v>7176952.0588235259</v>
      </c>
      <c r="L56" s="442">
        <v>6249132.7941176891</v>
      </c>
      <c r="M56" s="579">
        <v>0.38</v>
      </c>
      <c r="N56" s="580">
        <v>0.38</v>
      </c>
      <c r="O56" s="583">
        <v>0</v>
      </c>
      <c r="P56" s="584">
        <v>0</v>
      </c>
      <c r="Q56" s="585">
        <v>414484.04421705811</v>
      </c>
      <c r="R56" s="586">
        <v>-391002.99420000019</v>
      </c>
      <c r="S56" s="587">
        <v>0</v>
      </c>
      <c r="T56" s="562">
        <v>23481.050017057918</v>
      </c>
      <c r="U56" s="407">
        <v>2882.8391107510561</v>
      </c>
    </row>
    <row r="57" spans="3:21" x14ac:dyDescent="0.25">
      <c r="C57" s="432">
        <v>2052</v>
      </c>
      <c r="D57" s="441">
        <v>7003684.4117646813</v>
      </c>
      <c r="E57" s="442">
        <v>8042839.4117646813</v>
      </c>
      <c r="F57" s="441">
        <v>700499.41176470369</v>
      </c>
      <c r="G57" s="575">
        <v>229799.70588235371</v>
      </c>
      <c r="H57" s="576">
        <v>10</v>
      </c>
      <c r="I57" s="577">
        <v>35</v>
      </c>
      <c r="J57" s="441">
        <v>6427993.5294117928</v>
      </c>
      <c r="K57" s="575">
        <v>7383434.7058823705</v>
      </c>
      <c r="L57" s="442">
        <v>6427993.5294117928</v>
      </c>
      <c r="M57" s="579">
        <v>0.38</v>
      </c>
      <c r="N57" s="580">
        <v>0.38</v>
      </c>
      <c r="O57" s="583">
        <v>0</v>
      </c>
      <c r="P57" s="584">
        <v>0</v>
      </c>
      <c r="Q57" s="585">
        <v>426017.30673670379</v>
      </c>
      <c r="R57" s="586">
        <v>-403109.00759999978</v>
      </c>
      <c r="S57" s="587">
        <v>0</v>
      </c>
      <c r="T57" s="562">
        <v>22908.299136704009</v>
      </c>
      <c r="U57" s="407">
        <v>2628.5240776520077</v>
      </c>
    </row>
    <row r="58" spans="3:21" x14ac:dyDescent="0.25">
      <c r="C58" s="432">
        <v>2053</v>
      </c>
      <c r="D58" s="441">
        <v>7198562.2058823109</v>
      </c>
      <c r="E58" s="442">
        <v>8268924.7058823109</v>
      </c>
      <c r="F58" s="441">
        <v>719994.70588235557</v>
      </c>
      <c r="G58" s="575">
        <v>236262.35294117779</v>
      </c>
      <c r="H58" s="576">
        <v>10</v>
      </c>
      <c r="I58" s="577">
        <v>35</v>
      </c>
      <c r="J58" s="441">
        <v>6606854.2647058964</v>
      </c>
      <c r="K58" s="575">
        <v>7589917.3529411554</v>
      </c>
      <c r="L58" s="442">
        <v>6606854.2647058964</v>
      </c>
      <c r="M58" s="579">
        <v>0.38</v>
      </c>
      <c r="N58" s="580">
        <v>0.38</v>
      </c>
      <c r="O58" s="583">
        <v>0</v>
      </c>
      <c r="P58" s="584">
        <v>0</v>
      </c>
      <c r="Q58" s="585">
        <v>437550.56925634947</v>
      </c>
      <c r="R58" s="586">
        <v>-415215.02100000001</v>
      </c>
      <c r="S58" s="587">
        <v>0</v>
      </c>
      <c r="T58" s="562">
        <v>22335.548256349459</v>
      </c>
      <c r="U58" s="407">
        <v>2395.1457903958089</v>
      </c>
    </row>
    <row r="59" spans="3:21" x14ac:dyDescent="0.25">
      <c r="C59" s="432">
        <v>2054</v>
      </c>
      <c r="D59" s="441">
        <v>7393440</v>
      </c>
      <c r="E59" s="442">
        <v>8495010</v>
      </c>
      <c r="F59" s="441">
        <v>739490</v>
      </c>
      <c r="G59" s="575">
        <v>242725</v>
      </c>
      <c r="H59" s="576">
        <v>10</v>
      </c>
      <c r="I59" s="577">
        <v>35</v>
      </c>
      <c r="J59" s="441">
        <v>6785715</v>
      </c>
      <c r="K59" s="575">
        <v>7796400</v>
      </c>
      <c r="L59" s="442">
        <v>6785715</v>
      </c>
      <c r="M59" s="579">
        <v>0.38</v>
      </c>
      <c r="N59" s="580">
        <v>0.38</v>
      </c>
      <c r="O59" s="583">
        <v>0</v>
      </c>
      <c r="P59" s="584">
        <v>0</v>
      </c>
      <c r="Q59" s="585">
        <v>449083.83177600009</v>
      </c>
      <c r="R59" s="586">
        <v>-427321.0344</v>
      </c>
      <c r="S59" s="587">
        <v>0</v>
      </c>
      <c r="T59" s="562">
        <v>21762.79737600009</v>
      </c>
      <c r="U59" s="407">
        <v>2181.0532918120521</v>
      </c>
    </row>
    <row r="60" spans="3:21" x14ac:dyDescent="0.25">
      <c r="C60" s="422"/>
      <c r="D60" s="423"/>
      <c r="E60" s="423"/>
      <c r="F60" s="423"/>
      <c r="G60" s="423"/>
      <c r="H60" s="425"/>
      <c r="I60" s="425"/>
      <c r="J60" s="425"/>
      <c r="K60" s="425"/>
      <c r="L60" s="425"/>
      <c r="M60" s="425"/>
      <c r="N60" s="425"/>
      <c r="O60" s="425"/>
      <c r="P60" s="425"/>
      <c r="Q60" s="425"/>
      <c r="R60" s="425"/>
      <c r="S60" s="425"/>
      <c r="T60" s="425"/>
      <c r="U60" s="429"/>
    </row>
    <row r="61" spans="3:21" x14ac:dyDescent="0.25">
      <c r="C61" s="449" t="s">
        <v>33</v>
      </c>
      <c r="D61" s="450"/>
      <c r="E61" s="451"/>
      <c r="F61" s="451"/>
      <c r="G61" s="451"/>
      <c r="H61" s="451"/>
      <c r="I61" s="451"/>
      <c r="J61" s="451"/>
      <c r="K61" s="451"/>
      <c r="L61" s="451"/>
      <c r="M61" s="451"/>
      <c r="N61" s="451"/>
      <c r="O61" s="451"/>
      <c r="P61" s="451"/>
      <c r="Q61" s="451"/>
      <c r="R61" s="588"/>
      <c r="S61" s="588"/>
      <c r="T61" s="451"/>
      <c r="U61" s="452">
        <v>310406.89459202881</v>
      </c>
    </row>
    <row r="63" spans="3:21" x14ac:dyDescent="0.25">
      <c r="C63" t="s">
        <v>467</v>
      </c>
    </row>
    <row r="64" spans="3:21" x14ac:dyDescent="0.25">
      <c r="C64" t="s">
        <v>469</v>
      </c>
    </row>
    <row r="65" spans="3:21" x14ac:dyDescent="0.25">
      <c r="C65" t="s">
        <v>468</v>
      </c>
    </row>
    <row r="66" spans="3:21" x14ac:dyDescent="0.25">
      <c r="C66" s="467" t="s">
        <v>433</v>
      </c>
      <c r="D66" s="468"/>
      <c r="E66" s="366"/>
      <c r="F66" s="366"/>
      <c r="G66" s="366"/>
      <c r="H66" s="366"/>
      <c r="I66" s="366"/>
      <c r="J66" s="366"/>
      <c r="K66" s="366"/>
      <c r="L66" s="469"/>
      <c r="M66" s="469"/>
      <c r="N66" s="469"/>
      <c r="O66" s="469"/>
      <c r="P66" s="469"/>
      <c r="Q66" s="469"/>
      <c r="R66" s="366"/>
      <c r="S66" s="366"/>
    </row>
    <row r="67" spans="3:21" x14ac:dyDescent="0.25">
      <c r="C67" s="366"/>
      <c r="D67" s="470"/>
      <c r="E67" s="471"/>
      <c r="R67" s="366"/>
      <c r="S67" s="472"/>
    </row>
    <row r="68" spans="3:21" x14ac:dyDescent="0.25">
      <c r="C68" s="473"/>
      <c r="D68" s="474" t="s">
        <v>404</v>
      </c>
      <c r="E68" s="475"/>
      <c r="F68" s="474" t="s">
        <v>405</v>
      </c>
      <c r="G68" s="475"/>
      <c r="H68" s="474" t="s">
        <v>426</v>
      </c>
      <c r="I68" s="475"/>
      <c r="J68" s="474" t="s">
        <v>406</v>
      </c>
      <c r="K68" s="475"/>
      <c r="L68" s="474" t="s">
        <v>407</v>
      </c>
      <c r="M68" s="475"/>
      <c r="N68" s="474" t="s">
        <v>408</v>
      </c>
      <c r="O68" s="475"/>
      <c r="P68" s="476" t="s">
        <v>434</v>
      </c>
      <c r="Q68" s="477"/>
      <c r="R68" s="478" t="s">
        <v>426</v>
      </c>
      <c r="S68" s="479" t="s">
        <v>435</v>
      </c>
      <c r="T68" s="480"/>
      <c r="U68" s="365"/>
    </row>
    <row r="69" spans="3:21" x14ac:dyDescent="0.25">
      <c r="C69" s="481"/>
      <c r="D69" s="482" t="s">
        <v>411</v>
      </c>
      <c r="E69" s="483"/>
      <c r="F69" s="484" t="s">
        <v>412</v>
      </c>
      <c r="G69" s="483"/>
      <c r="H69" s="484" t="s">
        <v>413</v>
      </c>
      <c r="I69" s="483"/>
      <c r="J69" s="485" t="s">
        <v>414</v>
      </c>
      <c r="K69" s="486"/>
      <c r="L69" s="487" t="s">
        <v>415</v>
      </c>
      <c r="M69" s="483"/>
      <c r="N69" s="488" t="s">
        <v>416</v>
      </c>
      <c r="O69" s="486"/>
      <c r="P69" s="371" t="s">
        <v>436</v>
      </c>
      <c r="Q69" s="373"/>
      <c r="R69" s="482" t="s">
        <v>413</v>
      </c>
      <c r="S69" s="489" t="s">
        <v>417</v>
      </c>
      <c r="T69" s="490"/>
      <c r="U69" s="378"/>
    </row>
    <row r="70" spans="3:21" x14ac:dyDescent="0.25">
      <c r="C70" s="491" t="s">
        <v>31</v>
      </c>
      <c r="D70" s="492"/>
      <c r="E70" s="493"/>
      <c r="F70" s="492"/>
      <c r="G70" s="493"/>
      <c r="H70" s="492"/>
      <c r="I70" s="493"/>
      <c r="J70" s="492"/>
      <c r="K70" s="493"/>
      <c r="L70" s="492"/>
      <c r="M70" s="493"/>
      <c r="N70" s="492"/>
      <c r="O70" s="493"/>
      <c r="P70" s="494"/>
      <c r="Q70" s="381"/>
      <c r="R70" s="495" t="s">
        <v>418</v>
      </c>
      <c r="S70" s="496" t="s">
        <v>437</v>
      </c>
      <c r="T70" s="497" t="s">
        <v>420</v>
      </c>
      <c r="U70" s="385" t="s">
        <v>421</v>
      </c>
    </row>
    <row r="71" spans="3:21" x14ac:dyDescent="0.25">
      <c r="C71" s="498"/>
      <c r="D71" s="499" t="s">
        <v>422</v>
      </c>
      <c r="E71" s="500" t="s">
        <v>100</v>
      </c>
      <c r="F71" s="499" t="s">
        <v>422</v>
      </c>
      <c r="G71" s="500" t="s">
        <v>100</v>
      </c>
      <c r="H71" s="499" t="s">
        <v>422</v>
      </c>
      <c r="I71" s="500" t="s">
        <v>100</v>
      </c>
      <c r="J71" s="499" t="s">
        <v>422</v>
      </c>
      <c r="K71" s="500" t="s">
        <v>100</v>
      </c>
      <c r="L71" s="499" t="s">
        <v>422</v>
      </c>
      <c r="M71" s="500" t="s">
        <v>100</v>
      </c>
      <c r="N71" s="492" t="s">
        <v>422</v>
      </c>
      <c r="O71" s="493" t="s">
        <v>100</v>
      </c>
      <c r="P71" s="501" t="s">
        <v>422</v>
      </c>
      <c r="Q71" s="390" t="s">
        <v>100</v>
      </c>
      <c r="R71" s="502" t="s">
        <v>100</v>
      </c>
      <c r="S71" s="503" t="s">
        <v>438</v>
      </c>
      <c r="T71" s="504" t="s">
        <v>424</v>
      </c>
      <c r="U71" s="393" t="s">
        <v>425</v>
      </c>
    </row>
    <row r="72" spans="3:21" x14ac:dyDescent="0.25">
      <c r="C72" s="395">
        <v>2020</v>
      </c>
      <c r="D72" s="396">
        <v>76650</v>
      </c>
      <c r="E72" s="397">
        <v>22995</v>
      </c>
      <c r="F72" s="505">
        <v>1.48</v>
      </c>
      <c r="G72" s="506">
        <v>1.48</v>
      </c>
      <c r="H72" s="396">
        <v>704450</v>
      </c>
      <c r="I72" s="397">
        <v>775990</v>
      </c>
      <c r="J72" s="507">
        <v>0.38</v>
      </c>
      <c r="K72" s="508">
        <v>0.38</v>
      </c>
      <c r="L72" s="396">
        <v>0</v>
      </c>
      <c r="M72" s="397">
        <v>0</v>
      </c>
      <c r="N72" s="402">
        <v>0.16103626943005181</v>
      </c>
      <c r="O72" s="403">
        <v>4.3857008466603946E-2</v>
      </c>
      <c r="P72" s="509">
        <v>0</v>
      </c>
      <c r="Q72" s="510">
        <v>0</v>
      </c>
      <c r="R72" s="511">
        <v>704450</v>
      </c>
      <c r="S72" s="512">
        <v>97226.084211512047</v>
      </c>
      <c r="T72" s="406">
        <v>97226.084211512047</v>
      </c>
      <c r="U72" s="407">
        <v>97226.084211512047</v>
      </c>
    </row>
    <row r="73" spans="3:21" x14ac:dyDescent="0.25">
      <c r="C73" s="410">
        <v>2054</v>
      </c>
      <c r="D73" s="411">
        <v>739490</v>
      </c>
      <c r="E73" s="412">
        <v>242725</v>
      </c>
      <c r="F73" s="513">
        <v>1.48</v>
      </c>
      <c r="G73" s="514">
        <v>1.48</v>
      </c>
      <c r="H73" s="411">
        <v>6785715</v>
      </c>
      <c r="I73" s="412">
        <v>7796400</v>
      </c>
      <c r="J73" s="515">
        <v>0.38</v>
      </c>
      <c r="K73" s="516">
        <v>0.38</v>
      </c>
      <c r="L73" s="411">
        <v>0</v>
      </c>
      <c r="M73" s="412">
        <v>0</v>
      </c>
      <c r="N73" s="417">
        <v>0.16128664407509008</v>
      </c>
      <c r="O73" s="418">
        <v>4.6076779026217228E-2</v>
      </c>
      <c r="P73" s="517">
        <v>0</v>
      </c>
      <c r="Q73" s="518">
        <v>0</v>
      </c>
      <c r="R73" s="519">
        <v>6785715</v>
      </c>
      <c r="S73" s="520">
        <v>1350481.3547353589</v>
      </c>
      <c r="T73" s="406">
        <v>1350481.3547353589</v>
      </c>
      <c r="U73" s="407">
        <v>135344.3563980707</v>
      </c>
    </row>
    <row r="74" spans="3:21" x14ac:dyDescent="0.25">
      <c r="C74" s="422"/>
      <c r="D74" s="423"/>
      <c r="E74" s="423"/>
      <c r="F74" s="424"/>
      <c r="G74" s="424"/>
      <c r="H74" s="424"/>
      <c r="I74" s="424"/>
      <c r="J74" s="425"/>
      <c r="K74" s="425"/>
      <c r="L74" s="426"/>
      <c r="M74" s="426"/>
      <c r="N74" s="427"/>
      <c r="O74" s="427"/>
      <c r="P74" s="427"/>
      <c r="Q74" s="427"/>
      <c r="R74" s="427"/>
      <c r="S74" s="428"/>
      <c r="T74" s="425"/>
      <c r="U74" s="429"/>
    </row>
    <row r="75" spans="3:21" x14ac:dyDescent="0.25">
      <c r="C75" s="432">
        <v>2025</v>
      </c>
      <c r="D75" s="433">
        <v>174126.47058823705</v>
      </c>
      <c r="E75" s="434">
        <v>55308.235294118524</v>
      </c>
      <c r="F75" s="435">
        <v>1.48</v>
      </c>
      <c r="G75" s="436">
        <v>1.48</v>
      </c>
      <c r="H75" s="433">
        <v>1598753.6764706373</v>
      </c>
      <c r="I75" s="434">
        <v>1808403.2352941036</v>
      </c>
      <c r="J75" s="437">
        <v>0.38</v>
      </c>
      <c r="K75" s="438">
        <v>0.38</v>
      </c>
      <c r="L75" s="433">
        <v>0</v>
      </c>
      <c r="M75" s="434">
        <v>0</v>
      </c>
      <c r="N75" s="435">
        <v>0.1611925465838476</v>
      </c>
      <c r="O75" s="436">
        <v>4.526434516247866E-2</v>
      </c>
      <c r="P75" s="435">
        <v>0</v>
      </c>
      <c r="Q75" s="436">
        <v>0</v>
      </c>
      <c r="R75" s="434">
        <v>1598753.6764706373</v>
      </c>
      <c r="S75" s="521">
        <v>281881.2282924137</v>
      </c>
      <c r="T75" s="406">
        <v>281881.2282924137</v>
      </c>
      <c r="U75" s="407">
        <v>200977.42002837177</v>
      </c>
    </row>
    <row r="76" spans="3:21" x14ac:dyDescent="0.25">
      <c r="C76" s="432">
        <v>2026</v>
      </c>
      <c r="D76" s="441">
        <v>193621.76470588148</v>
      </c>
      <c r="E76" s="442">
        <v>61770.882352940738</v>
      </c>
      <c r="F76" s="443">
        <v>1.48</v>
      </c>
      <c r="G76" s="444">
        <v>1.48</v>
      </c>
      <c r="H76" s="441">
        <v>1777614.4117647409</v>
      </c>
      <c r="I76" s="442">
        <v>2014885.8823529482</v>
      </c>
      <c r="J76" s="445">
        <v>0.38</v>
      </c>
      <c r="K76" s="446">
        <v>0.38</v>
      </c>
      <c r="L76" s="441">
        <v>0</v>
      </c>
      <c r="M76" s="442">
        <v>0</v>
      </c>
      <c r="N76" s="443">
        <v>0.16120493278416867</v>
      </c>
      <c r="O76" s="444">
        <v>4.5372746259749741E-2</v>
      </c>
      <c r="P76" s="443">
        <v>0</v>
      </c>
      <c r="Q76" s="444">
        <v>0</v>
      </c>
      <c r="R76" s="442">
        <v>1777614.4117647409</v>
      </c>
      <c r="S76" s="522">
        <v>318755.64221544197</v>
      </c>
      <c r="T76" s="406">
        <v>318755.64221544197</v>
      </c>
      <c r="U76" s="407">
        <v>212400.34348789824</v>
      </c>
    </row>
    <row r="77" spans="3:21" x14ac:dyDescent="0.25">
      <c r="C77" s="432">
        <v>2027</v>
      </c>
      <c r="D77" s="441">
        <v>213117.05882353336</v>
      </c>
      <c r="E77" s="442">
        <v>68233.529411764815</v>
      </c>
      <c r="F77" s="443">
        <v>1.48</v>
      </c>
      <c r="G77" s="444">
        <v>1.48</v>
      </c>
      <c r="H77" s="441">
        <v>1956475.1470588446</v>
      </c>
      <c r="I77" s="442">
        <v>2221368.5294117332</v>
      </c>
      <c r="J77" s="445">
        <v>0.38</v>
      </c>
      <c r="K77" s="446">
        <v>0.38</v>
      </c>
      <c r="L77" s="441">
        <v>0</v>
      </c>
      <c r="M77" s="442">
        <v>0</v>
      </c>
      <c r="N77" s="443">
        <v>0.1612150542944478</v>
      </c>
      <c r="O77" s="444">
        <v>4.546099496428678E-2</v>
      </c>
      <c r="P77" s="443">
        <v>0</v>
      </c>
      <c r="Q77" s="444">
        <v>0</v>
      </c>
      <c r="R77" s="442">
        <v>1956475.1470588446</v>
      </c>
      <c r="S77" s="522">
        <v>355623.49287710804</v>
      </c>
      <c r="T77" s="406">
        <v>355623.49287710804</v>
      </c>
      <c r="U77" s="407">
        <v>221464.43839731577</v>
      </c>
    </row>
    <row r="78" spans="3:21" x14ac:dyDescent="0.25">
      <c r="C78" s="432">
        <v>2028</v>
      </c>
      <c r="D78" s="441">
        <v>232612.35294117779</v>
      </c>
      <c r="E78" s="442">
        <v>74696.176470588893</v>
      </c>
      <c r="F78" s="443">
        <v>1.48</v>
      </c>
      <c r="G78" s="444">
        <v>1.48</v>
      </c>
      <c r="H78" s="441">
        <v>2135335.8823529482</v>
      </c>
      <c r="I78" s="442">
        <v>2427851.1764705777</v>
      </c>
      <c r="J78" s="445">
        <v>0.38</v>
      </c>
      <c r="K78" s="446">
        <v>0.38</v>
      </c>
      <c r="L78" s="441">
        <v>0</v>
      </c>
      <c r="M78" s="442">
        <v>0</v>
      </c>
      <c r="N78" s="443">
        <v>0.16122348020190275</v>
      </c>
      <c r="O78" s="444">
        <v>4.5534233007305289E-2</v>
      </c>
      <c r="P78" s="443">
        <v>0</v>
      </c>
      <c r="Q78" s="444">
        <v>0</v>
      </c>
      <c r="R78" s="442">
        <v>2135335.8823529482</v>
      </c>
      <c r="S78" s="522">
        <v>392486.4586164091</v>
      </c>
      <c r="T78" s="406">
        <v>392486.4586164091</v>
      </c>
      <c r="U78" s="407">
        <v>228430.69233323928</v>
      </c>
    </row>
    <row r="79" spans="3:21" x14ac:dyDescent="0.25">
      <c r="C79" s="432">
        <v>2029</v>
      </c>
      <c r="D79" s="441">
        <v>252107.64705882221</v>
      </c>
      <c r="E79" s="442">
        <v>81158.82352941297</v>
      </c>
      <c r="F79" s="443">
        <v>1.48</v>
      </c>
      <c r="G79" s="444">
        <v>1.48</v>
      </c>
      <c r="H79" s="441">
        <v>2314196.6176471114</v>
      </c>
      <c r="I79" s="442">
        <v>2634333.8235294223</v>
      </c>
      <c r="J79" s="445">
        <v>0.38</v>
      </c>
      <c r="K79" s="446">
        <v>0.38</v>
      </c>
      <c r="L79" s="441">
        <v>0</v>
      </c>
      <c r="M79" s="442">
        <v>0</v>
      </c>
      <c r="N79" s="443">
        <v>0.16123060365822095</v>
      </c>
      <c r="O79" s="444">
        <v>4.5595990056645018E-2</v>
      </c>
      <c r="P79" s="443">
        <v>0</v>
      </c>
      <c r="Q79" s="444">
        <v>0</v>
      </c>
      <c r="R79" s="442">
        <v>2314196.6176471114</v>
      </c>
      <c r="S79" s="522">
        <v>429345.69049539109</v>
      </c>
      <c r="T79" s="406">
        <v>429345.69049539109</v>
      </c>
      <c r="U79" s="407">
        <v>233535.60829353333</v>
      </c>
    </row>
    <row r="80" spans="3:21" x14ac:dyDescent="0.25">
      <c r="C80" s="432">
        <v>2030</v>
      </c>
      <c r="D80" s="441">
        <v>271602.94117647409</v>
      </c>
      <c r="E80" s="442">
        <v>87621.470588235185</v>
      </c>
      <c r="F80" s="443">
        <v>1.48</v>
      </c>
      <c r="G80" s="444">
        <v>1.48</v>
      </c>
      <c r="H80" s="441">
        <v>2493057.352941215</v>
      </c>
      <c r="I80" s="442">
        <v>2840816.4705882072</v>
      </c>
      <c r="J80" s="445">
        <v>0.38</v>
      </c>
      <c r="K80" s="446">
        <v>0.38</v>
      </c>
      <c r="L80" s="441">
        <v>0</v>
      </c>
      <c r="M80" s="442">
        <v>0</v>
      </c>
      <c r="N80" s="443">
        <v>0.1612367049907415</v>
      </c>
      <c r="O80" s="444">
        <v>4.5648769574944466E-2</v>
      </c>
      <c r="P80" s="443">
        <v>0</v>
      </c>
      <c r="Q80" s="444">
        <v>0</v>
      </c>
      <c r="R80" s="442">
        <v>2493057.352941215</v>
      </c>
      <c r="S80" s="522">
        <v>466202.00428082544</v>
      </c>
      <c r="T80" s="406">
        <v>466202.00428082544</v>
      </c>
      <c r="U80" s="407">
        <v>236993.45886794428</v>
      </c>
    </row>
    <row r="81" spans="3:21" x14ac:dyDescent="0.25">
      <c r="C81" s="432">
        <v>2031</v>
      </c>
      <c r="D81" s="441">
        <v>291098.23529411852</v>
      </c>
      <c r="E81" s="442">
        <v>94084.117647059262</v>
      </c>
      <c r="F81" s="443">
        <v>1.48</v>
      </c>
      <c r="G81" s="444">
        <v>1.48</v>
      </c>
      <c r="H81" s="441">
        <v>2671918.0882353187</v>
      </c>
      <c r="I81" s="442">
        <v>3047299.1176470518</v>
      </c>
      <c r="J81" s="445">
        <v>0.38</v>
      </c>
      <c r="K81" s="446">
        <v>0.38</v>
      </c>
      <c r="L81" s="441">
        <v>0</v>
      </c>
      <c r="M81" s="442">
        <v>0</v>
      </c>
      <c r="N81" s="443">
        <v>0.16124198946526694</v>
      </c>
      <c r="O81" s="444">
        <v>4.5694396494021974E-2</v>
      </c>
      <c r="P81" s="443">
        <v>0</v>
      </c>
      <c r="Q81" s="444">
        <v>0</v>
      </c>
      <c r="R81" s="442">
        <v>2671918.0882353187</v>
      </c>
      <c r="S81" s="522">
        <v>503055.99424009776</v>
      </c>
      <c r="T81" s="406">
        <v>503055.99424009776</v>
      </c>
      <c r="U81" s="407">
        <v>238998.27904306573</v>
      </c>
    </row>
    <row r="82" spans="3:21" x14ac:dyDescent="0.25">
      <c r="C82" s="432">
        <v>2032</v>
      </c>
      <c r="D82" s="441">
        <v>310593.52941176295</v>
      </c>
      <c r="E82" s="442">
        <v>100546.76470588334</v>
      </c>
      <c r="F82" s="443">
        <v>1.48</v>
      </c>
      <c r="G82" s="444">
        <v>1.48</v>
      </c>
      <c r="H82" s="441">
        <v>2850778.8235294223</v>
      </c>
      <c r="I82" s="442">
        <v>3253781.7647058964</v>
      </c>
      <c r="J82" s="445">
        <v>0.38</v>
      </c>
      <c r="K82" s="446">
        <v>0.38</v>
      </c>
      <c r="L82" s="441">
        <v>0</v>
      </c>
      <c r="M82" s="442">
        <v>0</v>
      </c>
      <c r="N82" s="443">
        <v>0.16124661083328162</v>
      </c>
      <c r="O82" s="444">
        <v>4.5734232510261166E-2</v>
      </c>
      <c r="P82" s="443">
        <v>0</v>
      </c>
      <c r="Q82" s="444">
        <v>0</v>
      </c>
      <c r="R82" s="442">
        <v>2850778.8235294223</v>
      </c>
      <c r="S82" s="522">
        <v>539908.10353860224</v>
      </c>
      <c r="T82" s="406">
        <v>539908.10353860224</v>
      </c>
      <c r="U82" s="407">
        <v>239725.65486212453</v>
      </c>
    </row>
    <row r="83" spans="3:21" x14ac:dyDescent="0.25">
      <c r="C83" s="432">
        <v>2033</v>
      </c>
      <c r="D83" s="441">
        <v>330088.82352941483</v>
      </c>
      <c r="E83" s="442">
        <v>107009.41176470555</v>
      </c>
      <c r="F83" s="443">
        <v>1.48</v>
      </c>
      <c r="G83" s="444">
        <v>1.48</v>
      </c>
      <c r="H83" s="441">
        <v>3029639.5588235259</v>
      </c>
      <c r="I83" s="442">
        <v>3460264.4117646813</v>
      </c>
      <c r="J83" s="445">
        <v>0.38</v>
      </c>
      <c r="K83" s="446">
        <v>0.38</v>
      </c>
      <c r="L83" s="441">
        <v>0</v>
      </c>
      <c r="M83" s="442">
        <v>0</v>
      </c>
      <c r="N83" s="443">
        <v>0.16125068653818384</v>
      </c>
      <c r="O83" s="444">
        <v>4.5769314296706005E-2</v>
      </c>
      <c r="P83" s="443">
        <v>0</v>
      </c>
      <c r="Q83" s="444">
        <v>0</v>
      </c>
      <c r="R83" s="442">
        <v>3029639.5588235259</v>
      </c>
      <c r="S83" s="522">
        <v>576758.66939370113</v>
      </c>
      <c r="T83" s="406">
        <v>576758.66939370113</v>
      </c>
      <c r="U83" s="407">
        <v>239334.34280988478</v>
      </c>
    </row>
    <row r="84" spans="3:21" x14ac:dyDescent="0.25">
      <c r="C84" s="432">
        <v>2034</v>
      </c>
      <c r="D84" s="441">
        <v>349584.11764705926</v>
      </c>
      <c r="E84" s="442">
        <v>113472.05882352963</v>
      </c>
      <c r="F84" s="443">
        <v>1.48</v>
      </c>
      <c r="G84" s="444">
        <v>1.48</v>
      </c>
      <c r="H84" s="441">
        <v>3208500.2941176891</v>
      </c>
      <c r="I84" s="442">
        <v>3666747.0588235259</v>
      </c>
      <c r="J84" s="445">
        <v>0.38</v>
      </c>
      <c r="K84" s="446">
        <v>0.38</v>
      </c>
      <c r="L84" s="441">
        <v>0</v>
      </c>
      <c r="M84" s="442">
        <v>0</v>
      </c>
      <c r="N84" s="443">
        <v>0.16125430783540698</v>
      </c>
      <c r="O84" s="444">
        <v>4.5800445016981044E-2</v>
      </c>
      <c r="P84" s="443">
        <v>0</v>
      </c>
      <c r="Q84" s="444">
        <v>0</v>
      </c>
      <c r="R84" s="442">
        <v>3208500.2941176891</v>
      </c>
      <c r="S84" s="522">
        <v>613607.95295006945</v>
      </c>
      <c r="T84" s="406">
        <v>613607.95295006945</v>
      </c>
      <c r="U84" s="407">
        <v>237967.74337938442</v>
      </c>
    </row>
    <row r="85" spans="3:21" x14ac:dyDescent="0.25">
      <c r="C85" s="432">
        <v>2035</v>
      </c>
      <c r="D85" s="441">
        <v>369079.41176470369</v>
      </c>
      <c r="E85" s="442">
        <v>119934.70588235371</v>
      </c>
      <c r="F85" s="443">
        <v>1.48</v>
      </c>
      <c r="G85" s="444">
        <v>1.48</v>
      </c>
      <c r="H85" s="441">
        <v>3387361.0294117928</v>
      </c>
      <c r="I85" s="442">
        <v>3873229.7058823705</v>
      </c>
      <c r="J85" s="445">
        <v>0.38</v>
      </c>
      <c r="K85" s="446">
        <v>0.38</v>
      </c>
      <c r="L85" s="441">
        <v>0</v>
      </c>
      <c r="M85" s="442">
        <v>0</v>
      </c>
      <c r="N85" s="443">
        <v>0.16125754670638526</v>
      </c>
      <c r="O85" s="444">
        <v>4.5828256567459633E-2</v>
      </c>
      <c r="P85" s="443">
        <v>0</v>
      </c>
      <c r="Q85" s="444">
        <v>0</v>
      </c>
      <c r="R85" s="442">
        <v>3387361.0294117928</v>
      </c>
      <c r="S85" s="522">
        <v>650456.15958571038</v>
      </c>
      <c r="T85" s="406">
        <v>650456.15958571038</v>
      </c>
      <c r="U85" s="407">
        <v>235755.24599369621</v>
      </c>
    </row>
    <row r="86" spans="3:21" x14ac:dyDescent="0.25">
      <c r="C86" s="432">
        <v>2036</v>
      </c>
      <c r="D86" s="441">
        <v>388574.70588235557</v>
      </c>
      <c r="E86" s="442">
        <v>126397.35294117779</v>
      </c>
      <c r="F86" s="443">
        <v>1.48</v>
      </c>
      <c r="G86" s="444">
        <v>1.48</v>
      </c>
      <c r="H86" s="441">
        <v>3566221.7647058964</v>
      </c>
      <c r="I86" s="442">
        <v>4079712.3529411554</v>
      </c>
      <c r="J86" s="445">
        <v>0.38</v>
      </c>
      <c r="K86" s="446">
        <v>0.38</v>
      </c>
      <c r="L86" s="441">
        <v>0</v>
      </c>
      <c r="M86" s="442">
        <v>0</v>
      </c>
      <c r="N86" s="443">
        <v>0.16126046069188116</v>
      </c>
      <c r="O86" s="444">
        <v>4.5853252918206737E-2</v>
      </c>
      <c r="P86" s="443">
        <v>0</v>
      </c>
      <c r="Q86" s="444">
        <v>0</v>
      </c>
      <c r="R86" s="442">
        <v>3566221.7647058964</v>
      </c>
      <c r="S86" s="522">
        <v>687303.45304298436</v>
      </c>
      <c r="T86" s="406">
        <v>687303.45304298436</v>
      </c>
      <c r="U86" s="407">
        <v>232813.45873072819</v>
      </c>
    </row>
    <row r="87" spans="3:21" x14ac:dyDescent="0.25">
      <c r="C87" s="432">
        <v>2037</v>
      </c>
      <c r="D87" s="441">
        <v>408070</v>
      </c>
      <c r="E87" s="442">
        <v>132860</v>
      </c>
      <c r="F87" s="443">
        <v>1.48</v>
      </c>
      <c r="G87" s="444">
        <v>1.48</v>
      </c>
      <c r="H87" s="441">
        <v>3745082.5</v>
      </c>
      <c r="I87" s="442">
        <v>4286195</v>
      </c>
      <c r="J87" s="445">
        <v>0.38</v>
      </c>
      <c r="K87" s="446">
        <v>0.38</v>
      </c>
      <c r="L87" s="441">
        <v>0</v>
      </c>
      <c r="M87" s="442">
        <v>0</v>
      </c>
      <c r="N87" s="443">
        <v>0.16126309634033428</v>
      </c>
      <c r="O87" s="444">
        <v>4.5875840926509405E-2</v>
      </c>
      <c r="P87" s="443">
        <v>0</v>
      </c>
      <c r="Q87" s="444">
        <v>0</v>
      </c>
      <c r="R87" s="442">
        <v>3745082.5</v>
      </c>
      <c r="S87" s="522">
        <v>724149.96547082404</v>
      </c>
      <c r="T87" s="406">
        <v>724149.96547082404</v>
      </c>
      <c r="U87" s="407">
        <v>229247.33392353254</v>
      </c>
    </row>
    <row r="88" spans="3:21" x14ac:dyDescent="0.25">
      <c r="C88" s="432">
        <v>2038</v>
      </c>
      <c r="D88" s="441">
        <v>427565.29411764443</v>
      </c>
      <c r="E88" s="442">
        <v>139322.64705882408</v>
      </c>
      <c r="F88" s="443">
        <v>1.48</v>
      </c>
      <c r="G88" s="444">
        <v>1.48</v>
      </c>
      <c r="H88" s="441">
        <v>3923943.2352941632</v>
      </c>
      <c r="I88" s="442">
        <v>4492677.6470588446</v>
      </c>
      <c r="J88" s="445">
        <v>0.38</v>
      </c>
      <c r="K88" s="446">
        <v>0.38</v>
      </c>
      <c r="L88" s="441">
        <v>0</v>
      </c>
      <c r="M88" s="442">
        <v>0</v>
      </c>
      <c r="N88" s="443">
        <v>0.16126549171312754</v>
      </c>
      <c r="O88" s="444">
        <v>4.5896352653310872E-2</v>
      </c>
      <c r="P88" s="443">
        <v>0</v>
      </c>
      <c r="Q88" s="444">
        <v>0</v>
      </c>
      <c r="R88" s="442">
        <v>3923943.2352941632</v>
      </c>
      <c r="S88" s="522">
        <v>760995.8046933196</v>
      </c>
      <c r="T88" s="406">
        <v>760995.8046933196</v>
      </c>
      <c r="U88" s="407">
        <v>225151.19908087165</v>
      </c>
    </row>
    <row r="89" spans="3:21" x14ac:dyDescent="0.25">
      <c r="C89" s="432">
        <v>2039</v>
      </c>
      <c r="D89" s="441">
        <v>447060.58823529631</v>
      </c>
      <c r="E89" s="442">
        <v>145785.29411764815</v>
      </c>
      <c r="F89" s="443">
        <v>1.48</v>
      </c>
      <c r="G89" s="444">
        <v>1.48</v>
      </c>
      <c r="H89" s="441">
        <v>4102803.9705882668</v>
      </c>
      <c r="I89" s="442">
        <v>4699160.2941176295</v>
      </c>
      <c r="J89" s="445">
        <v>0.38</v>
      </c>
      <c r="K89" s="446">
        <v>0.38</v>
      </c>
      <c r="L89" s="441">
        <v>0</v>
      </c>
      <c r="M89" s="442">
        <v>0</v>
      </c>
      <c r="N89" s="443">
        <v>0.1612676782345441</v>
      </c>
      <c r="O89" s="444">
        <v>4.5915061796084865E-2</v>
      </c>
      <c r="P89" s="443">
        <v>0</v>
      </c>
      <c r="Q89" s="444">
        <v>0</v>
      </c>
      <c r="R89" s="442">
        <v>4102803.9705882668</v>
      </c>
      <c r="S89" s="522">
        <v>797841.05956079694</v>
      </c>
      <c r="T89" s="406">
        <v>797841.05956079694</v>
      </c>
      <c r="U89" s="407">
        <v>220609.70138675786</v>
      </c>
    </row>
    <row r="90" spans="3:21" x14ac:dyDescent="0.25">
      <c r="C90" s="432">
        <v>2040</v>
      </c>
      <c r="D90" s="441">
        <v>466555.88235294074</v>
      </c>
      <c r="E90" s="442">
        <v>152247.94117647037</v>
      </c>
      <c r="F90" s="443">
        <v>1.48</v>
      </c>
      <c r="G90" s="444">
        <v>1.48</v>
      </c>
      <c r="H90" s="441">
        <v>4281664.7058823705</v>
      </c>
      <c r="I90" s="442">
        <v>4905642.9411764741</v>
      </c>
      <c r="J90" s="445">
        <v>0.38</v>
      </c>
      <c r="K90" s="446">
        <v>0.38</v>
      </c>
      <c r="L90" s="441">
        <v>0</v>
      </c>
      <c r="M90" s="442">
        <v>0</v>
      </c>
      <c r="N90" s="443">
        <v>0.16126968207802547</v>
      </c>
      <c r="O90" s="444">
        <v>4.5932195971673813E-2</v>
      </c>
      <c r="P90" s="443">
        <v>0</v>
      </c>
      <c r="Q90" s="444">
        <v>0</v>
      </c>
      <c r="R90" s="442">
        <v>4281664.7058823705</v>
      </c>
      <c r="S90" s="522">
        <v>834685.8039471464</v>
      </c>
      <c r="T90" s="406">
        <v>834685.8039471464</v>
      </c>
      <c r="U90" s="407">
        <v>215698.6731189139</v>
      </c>
    </row>
    <row r="91" spans="3:21" x14ac:dyDescent="0.25">
      <c r="C91" s="432">
        <v>2041</v>
      </c>
      <c r="D91" s="441">
        <v>486051.17647059262</v>
      </c>
      <c r="E91" s="442">
        <v>158710.58823529445</v>
      </c>
      <c r="F91" s="443">
        <v>1.48</v>
      </c>
      <c r="G91" s="444">
        <v>1.48</v>
      </c>
      <c r="H91" s="441">
        <v>4460525.4411764741</v>
      </c>
      <c r="I91" s="442">
        <v>5112125.5882352591</v>
      </c>
      <c r="J91" s="445">
        <v>0.38</v>
      </c>
      <c r="K91" s="446">
        <v>0.38</v>
      </c>
      <c r="L91" s="441">
        <v>0</v>
      </c>
      <c r="M91" s="442">
        <v>0</v>
      </c>
      <c r="N91" s="443">
        <v>0.16127152521895385</v>
      </c>
      <c r="O91" s="444">
        <v>4.5947946022453258E-2</v>
      </c>
      <c r="P91" s="443">
        <v>0</v>
      </c>
      <c r="Q91" s="444">
        <v>0</v>
      </c>
      <c r="R91" s="442">
        <v>4460525.4411764741</v>
      </c>
      <c r="S91" s="522">
        <v>871530.09977758105</v>
      </c>
      <c r="T91" s="406">
        <v>871530.09977758105</v>
      </c>
      <c r="U91" s="407">
        <v>210485.92458578877</v>
      </c>
    </row>
    <row r="92" spans="3:21" x14ac:dyDescent="0.25">
      <c r="C92" s="432">
        <v>2042</v>
      </c>
      <c r="D92" s="441">
        <v>505546.47058823705</v>
      </c>
      <c r="E92" s="442">
        <v>165173.23529411852</v>
      </c>
      <c r="F92" s="443">
        <v>1.48</v>
      </c>
      <c r="G92" s="444">
        <v>1.48</v>
      </c>
      <c r="H92" s="441">
        <v>4639386.1764706373</v>
      </c>
      <c r="I92" s="442">
        <v>5318608.2352941036</v>
      </c>
      <c r="J92" s="445">
        <v>0.38</v>
      </c>
      <c r="K92" s="446">
        <v>0.38</v>
      </c>
      <c r="L92" s="441">
        <v>0</v>
      </c>
      <c r="M92" s="442">
        <v>0</v>
      </c>
      <c r="N92" s="443">
        <v>0.16127322624386112</v>
      </c>
      <c r="O92" s="444">
        <v>4.5962473154742084E-2</v>
      </c>
      <c r="P92" s="443">
        <v>0</v>
      </c>
      <c r="Q92" s="444">
        <v>0</v>
      </c>
      <c r="R92" s="442">
        <v>4639386.1764706373</v>
      </c>
      <c r="S92" s="522">
        <v>908373.99935080402</v>
      </c>
      <c r="T92" s="406">
        <v>908373.99935080402</v>
      </c>
      <c r="U92" s="407">
        <v>205031.97056011928</v>
      </c>
    </row>
    <row r="93" spans="3:21" x14ac:dyDescent="0.25">
      <c r="C93" s="432">
        <v>2043</v>
      </c>
      <c r="D93" s="441">
        <v>525041.76470588148</v>
      </c>
      <c r="E93" s="442">
        <v>171635.88235294074</v>
      </c>
      <c r="F93" s="443">
        <v>1.48</v>
      </c>
      <c r="G93" s="444">
        <v>1.48</v>
      </c>
      <c r="H93" s="441">
        <v>4818246.9117647409</v>
      </c>
      <c r="I93" s="442">
        <v>5525090.8823529482</v>
      </c>
      <c r="J93" s="445">
        <v>0.38</v>
      </c>
      <c r="K93" s="446">
        <v>0.38</v>
      </c>
      <c r="L93" s="441">
        <v>0</v>
      </c>
      <c r="M93" s="442">
        <v>0</v>
      </c>
      <c r="N93" s="443">
        <v>0.16127480097944924</v>
      </c>
      <c r="O93" s="444">
        <v>4.5975914476572975E-2</v>
      </c>
      <c r="P93" s="443">
        <v>0</v>
      </c>
      <c r="Q93" s="444">
        <v>0</v>
      </c>
      <c r="R93" s="442">
        <v>4818246.9117647409</v>
      </c>
      <c r="S93" s="522">
        <v>945217.54713958816</v>
      </c>
      <c r="T93" s="406">
        <v>945217.54713958816</v>
      </c>
      <c r="U93" s="407">
        <v>199390.69565230224</v>
      </c>
    </row>
    <row r="94" spans="3:21" x14ac:dyDescent="0.25">
      <c r="C94" s="432">
        <v>2044</v>
      </c>
      <c r="D94" s="441">
        <v>544537.05882353336</v>
      </c>
      <c r="E94" s="442">
        <v>178098.52941176482</v>
      </c>
      <c r="F94" s="443">
        <v>1.48</v>
      </c>
      <c r="G94" s="444">
        <v>1.48</v>
      </c>
      <c r="H94" s="441">
        <v>4997107.6470588446</v>
      </c>
      <c r="I94" s="442">
        <v>5731573.5294117332</v>
      </c>
      <c r="J94" s="445">
        <v>0.38</v>
      </c>
      <c r="K94" s="446">
        <v>0.38</v>
      </c>
      <c r="L94" s="441">
        <v>0</v>
      </c>
      <c r="M94" s="442">
        <v>0</v>
      </c>
      <c r="N94" s="443">
        <v>0.16127626298648337</v>
      </c>
      <c r="O94" s="444">
        <v>4.5988387338453174E-2</v>
      </c>
      <c r="P94" s="443">
        <v>0</v>
      </c>
      <c r="Q94" s="444">
        <v>0</v>
      </c>
      <c r="R94" s="442">
        <v>4997107.6470588446</v>
      </c>
      <c r="S94" s="522">
        <v>982060.78120145388</v>
      </c>
      <c r="T94" s="406">
        <v>982060.78120145388</v>
      </c>
      <c r="U94" s="407">
        <v>193609.9635981411</v>
      </c>
    </row>
    <row r="95" spans="3:21" x14ac:dyDescent="0.25">
      <c r="C95" s="432">
        <v>2045</v>
      </c>
      <c r="D95" s="441">
        <v>564032.35294117779</v>
      </c>
      <c r="E95" s="442">
        <v>184561.17647058889</v>
      </c>
      <c r="F95" s="443">
        <v>1.48</v>
      </c>
      <c r="G95" s="444">
        <v>1.48</v>
      </c>
      <c r="H95" s="441">
        <v>5175968.3823529482</v>
      </c>
      <c r="I95" s="442">
        <v>5938056.1764705777</v>
      </c>
      <c r="J95" s="445">
        <v>0.38</v>
      </c>
      <c r="K95" s="446">
        <v>0.38</v>
      </c>
      <c r="L95" s="441">
        <v>0</v>
      </c>
      <c r="M95" s="442">
        <v>0</v>
      </c>
      <c r="N95" s="443">
        <v>0.1612776239513011</v>
      </c>
      <c r="O95" s="444">
        <v>4.5999992768479492E-2</v>
      </c>
      <c r="P95" s="443">
        <v>0</v>
      </c>
      <c r="Q95" s="444">
        <v>0</v>
      </c>
      <c r="R95" s="442">
        <v>5175968.3823529482</v>
      </c>
      <c r="S95" s="522">
        <v>1018903.7342956588</v>
      </c>
      <c r="T95" s="406">
        <v>1018903.7342956588</v>
      </c>
      <c r="U95" s="407">
        <v>187732.17501831366</v>
      </c>
    </row>
    <row r="96" spans="3:21" x14ac:dyDescent="0.25">
      <c r="C96" s="432">
        <v>2046</v>
      </c>
      <c r="D96" s="441">
        <v>583527.64705882221</v>
      </c>
      <c r="E96" s="442">
        <v>191023.82352941297</v>
      </c>
      <c r="F96" s="443">
        <v>1.48</v>
      </c>
      <c r="G96" s="444">
        <v>1.48</v>
      </c>
      <c r="H96" s="441">
        <v>5354829.1176471114</v>
      </c>
      <c r="I96" s="442">
        <v>6144538.8235294223</v>
      </c>
      <c r="J96" s="445">
        <v>0.38</v>
      </c>
      <c r="K96" s="446">
        <v>0.38</v>
      </c>
      <c r="L96" s="441">
        <v>0</v>
      </c>
      <c r="M96" s="442">
        <v>0</v>
      </c>
      <c r="N96" s="443">
        <v>0.16127889399886736</v>
      </c>
      <c r="O96" s="444">
        <v>4.601081821485499E-2</v>
      </c>
      <c r="P96" s="443">
        <v>0</v>
      </c>
      <c r="Q96" s="444">
        <v>0</v>
      </c>
      <c r="R96" s="442">
        <v>5354829.1176471114</v>
      </c>
      <c r="S96" s="522">
        <v>1055746.4347736929</v>
      </c>
      <c r="T96" s="406">
        <v>1055746.4347736929</v>
      </c>
      <c r="U96" s="407">
        <v>181794.77783092493</v>
      </c>
    </row>
    <row r="97" spans="3:21" x14ac:dyDescent="0.25">
      <c r="C97" s="432">
        <v>2047</v>
      </c>
      <c r="D97" s="441">
        <v>603022.94117647409</v>
      </c>
      <c r="E97" s="442">
        <v>197486.47058823518</v>
      </c>
      <c r="F97" s="443">
        <v>1.48</v>
      </c>
      <c r="G97" s="444">
        <v>1.48</v>
      </c>
      <c r="H97" s="441">
        <v>5533689.852941215</v>
      </c>
      <c r="I97" s="442">
        <v>6351021.4705882072</v>
      </c>
      <c r="J97" s="445">
        <v>0.38</v>
      </c>
      <c r="K97" s="446">
        <v>0.38</v>
      </c>
      <c r="L97" s="441">
        <v>0</v>
      </c>
      <c r="M97" s="442">
        <v>0</v>
      </c>
      <c r="N97" s="443">
        <v>0.16128008194510976</v>
      </c>
      <c r="O97" s="444">
        <v>4.602093975341548E-2</v>
      </c>
      <c r="P97" s="443">
        <v>0</v>
      </c>
      <c r="Q97" s="444">
        <v>0</v>
      </c>
      <c r="R97" s="442">
        <v>5533689.852941215</v>
      </c>
      <c r="S97" s="522">
        <v>1092588.9072969768</v>
      </c>
      <c r="T97" s="406">
        <v>1092588.9072969768</v>
      </c>
      <c r="U97" s="407">
        <v>175830.73415965622</v>
      </c>
    </row>
    <row r="98" spans="3:21" x14ac:dyDescent="0.25">
      <c r="C98" s="432">
        <v>2048</v>
      </c>
      <c r="D98" s="441">
        <v>622518.23529411852</v>
      </c>
      <c r="E98" s="442">
        <v>203949.11764705926</v>
      </c>
      <c r="F98" s="443">
        <v>1.48</v>
      </c>
      <c r="G98" s="444">
        <v>1.48</v>
      </c>
      <c r="H98" s="441">
        <v>5712550.5882353187</v>
      </c>
      <c r="I98" s="442">
        <v>6557504.1176470518</v>
      </c>
      <c r="J98" s="445">
        <v>0.38</v>
      </c>
      <c r="K98" s="446">
        <v>0.38</v>
      </c>
      <c r="L98" s="441">
        <v>0</v>
      </c>
      <c r="M98" s="442">
        <v>0</v>
      </c>
      <c r="N98" s="443">
        <v>0.16128119550183367</v>
      </c>
      <c r="O98" s="444">
        <v>4.6030423878095091E-2</v>
      </c>
      <c r="P98" s="443">
        <v>0</v>
      </c>
      <c r="Q98" s="444">
        <v>0</v>
      </c>
      <c r="R98" s="442">
        <v>5712550.5882353187</v>
      </c>
      <c r="S98" s="522">
        <v>1129431.1734179792</v>
      </c>
      <c r="T98" s="406">
        <v>1129431.1734179792</v>
      </c>
      <c r="U98" s="407">
        <v>169868.94726980245</v>
      </c>
    </row>
    <row r="99" spans="3:21" x14ac:dyDescent="0.25">
      <c r="C99" s="432">
        <v>2049</v>
      </c>
      <c r="D99" s="441">
        <v>642013.52941176295</v>
      </c>
      <c r="E99" s="442">
        <v>210411.76470588334</v>
      </c>
      <c r="F99" s="443">
        <v>1.48</v>
      </c>
      <c r="G99" s="444">
        <v>1.48</v>
      </c>
      <c r="H99" s="441">
        <v>5891411.3235294223</v>
      </c>
      <c r="I99" s="442">
        <v>6763986.7647058964</v>
      </c>
      <c r="J99" s="445">
        <v>0.38</v>
      </c>
      <c r="K99" s="446">
        <v>0.38</v>
      </c>
      <c r="L99" s="441">
        <v>0</v>
      </c>
      <c r="M99" s="442">
        <v>0</v>
      </c>
      <c r="N99" s="443">
        <v>0.16128224144434308</v>
      </c>
      <c r="O99" s="444">
        <v>4.6039328963448631E-2</v>
      </c>
      <c r="P99" s="443">
        <v>0</v>
      </c>
      <c r="Q99" s="444">
        <v>0</v>
      </c>
      <c r="R99" s="442">
        <v>5891411.3235294223</v>
      </c>
      <c r="S99" s="522">
        <v>1166273.252055147</v>
      </c>
      <c r="T99" s="406">
        <v>1166273.252055147</v>
      </c>
      <c r="U99" s="407">
        <v>163934.65178258243</v>
      </c>
    </row>
    <row r="100" spans="3:21" x14ac:dyDescent="0.25">
      <c r="C100" s="432">
        <v>2050</v>
      </c>
      <c r="D100" s="441">
        <v>661508.82352941483</v>
      </c>
      <c r="E100" s="442">
        <v>216874.41176470555</v>
      </c>
      <c r="F100" s="443">
        <v>1.48</v>
      </c>
      <c r="G100" s="444">
        <v>1.48</v>
      </c>
      <c r="H100" s="441">
        <v>6070272.0588235259</v>
      </c>
      <c r="I100" s="442">
        <v>6970469.4117646813</v>
      </c>
      <c r="J100" s="445">
        <v>0.38</v>
      </c>
      <c r="K100" s="446">
        <v>0.38</v>
      </c>
      <c r="L100" s="441">
        <v>0</v>
      </c>
      <c r="M100" s="442">
        <v>0</v>
      </c>
      <c r="N100" s="443">
        <v>0.16128322574940396</v>
      </c>
      <c r="O100" s="444">
        <v>4.6047706467232698E-2</v>
      </c>
      <c r="P100" s="443">
        <v>0</v>
      </c>
      <c r="Q100" s="444">
        <v>0</v>
      </c>
      <c r="R100" s="442">
        <v>6070272.0588235259</v>
      </c>
      <c r="S100" s="522">
        <v>1203115.1598834312</v>
      </c>
      <c r="T100" s="406">
        <v>1203115.1598834312</v>
      </c>
      <c r="U100" s="407">
        <v>158049.77015886974</v>
      </c>
    </row>
    <row r="101" spans="3:21" x14ac:dyDescent="0.25">
      <c r="C101" s="432">
        <v>2051</v>
      </c>
      <c r="D101" s="441">
        <v>681004.11764705926</v>
      </c>
      <c r="E101" s="442">
        <v>223337.05882352963</v>
      </c>
      <c r="F101" s="443">
        <v>1.48</v>
      </c>
      <c r="G101" s="444">
        <v>1.48</v>
      </c>
      <c r="H101" s="441">
        <v>6249132.7941176891</v>
      </c>
      <c r="I101" s="442">
        <v>7176952.0588235259</v>
      </c>
      <c r="J101" s="445">
        <v>0.38</v>
      </c>
      <c r="K101" s="446">
        <v>0.38</v>
      </c>
      <c r="L101" s="441">
        <v>0</v>
      </c>
      <c r="M101" s="442">
        <v>0</v>
      </c>
      <c r="N101" s="443">
        <v>0.1612841537095149</v>
      </c>
      <c r="O101" s="444">
        <v>4.6055601925395484E-2</v>
      </c>
      <c r="P101" s="443">
        <v>0</v>
      </c>
      <c r="Q101" s="444">
        <v>0</v>
      </c>
      <c r="R101" s="442">
        <v>6249132.7941176891</v>
      </c>
      <c r="S101" s="522">
        <v>1239956.9116573585</v>
      </c>
      <c r="T101" s="406">
        <v>1239956.9116573585</v>
      </c>
      <c r="U101" s="407">
        <v>152233.23820592108</v>
      </c>
    </row>
    <row r="102" spans="3:21" x14ac:dyDescent="0.25">
      <c r="C102" s="432">
        <v>2052</v>
      </c>
      <c r="D102" s="441">
        <v>700499.41176470369</v>
      </c>
      <c r="E102" s="442">
        <v>229799.70588235371</v>
      </c>
      <c r="F102" s="443">
        <v>1.48</v>
      </c>
      <c r="G102" s="444">
        <v>1.48</v>
      </c>
      <c r="H102" s="441">
        <v>6427993.5294117928</v>
      </c>
      <c r="I102" s="442">
        <v>7383434.7058823705</v>
      </c>
      <c r="J102" s="445">
        <v>0.38</v>
      </c>
      <c r="K102" s="446">
        <v>0.38</v>
      </c>
      <c r="L102" s="441">
        <v>0</v>
      </c>
      <c r="M102" s="442">
        <v>0</v>
      </c>
      <c r="N102" s="443">
        <v>0.161285030028123</v>
      </c>
      <c r="O102" s="444">
        <v>4.6063055780113223E-2</v>
      </c>
      <c r="P102" s="443">
        <v>0</v>
      </c>
      <c r="Q102" s="444">
        <v>0</v>
      </c>
      <c r="R102" s="442">
        <v>6427993.5294117928</v>
      </c>
      <c r="S102" s="522">
        <v>1276798.5204797988</v>
      </c>
      <c r="T102" s="406">
        <v>1276798.5204797988</v>
      </c>
      <c r="U102" s="407">
        <v>146501.30214226278</v>
      </c>
    </row>
    <row r="103" spans="3:21" x14ac:dyDescent="0.25">
      <c r="C103" s="432">
        <v>2053</v>
      </c>
      <c r="D103" s="441">
        <v>719994.70588235557</v>
      </c>
      <c r="E103" s="442">
        <v>236262.35294117779</v>
      </c>
      <c r="F103" s="443">
        <v>1.48</v>
      </c>
      <c r="G103" s="444">
        <v>1.48</v>
      </c>
      <c r="H103" s="441">
        <v>6606854.2647058964</v>
      </c>
      <c r="I103" s="442">
        <v>7589917.3529411554</v>
      </c>
      <c r="J103" s="445">
        <v>0.38</v>
      </c>
      <c r="K103" s="446">
        <v>0.38</v>
      </c>
      <c r="L103" s="441">
        <v>0</v>
      </c>
      <c r="M103" s="442">
        <v>0</v>
      </c>
      <c r="N103" s="443">
        <v>0.1612858588993443</v>
      </c>
      <c r="O103" s="444">
        <v>4.6070104072667373E-2</v>
      </c>
      <c r="P103" s="443">
        <v>0</v>
      </c>
      <c r="Q103" s="444">
        <v>0</v>
      </c>
      <c r="R103" s="442">
        <v>6606854.2647058964</v>
      </c>
      <c r="S103" s="522">
        <v>1313639.998026419</v>
      </c>
      <c r="T103" s="406">
        <v>1313639.998026419</v>
      </c>
      <c r="U103" s="407">
        <v>140867.78955489048</v>
      </c>
    </row>
    <row r="104" spans="3:21" x14ac:dyDescent="0.25">
      <c r="C104" s="432">
        <v>2054</v>
      </c>
      <c r="D104" s="441">
        <v>739490</v>
      </c>
      <c r="E104" s="442">
        <v>242725</v>
      </c>
      <c r="F104" s="443">
        <v>1.48</v>
      </c>
      <c r="G104" s="444">
        <v>1.48</v>
      </c>
      <c r="H104" s="441">
        <v>6785715</v>
      </c>
      <c r="I104" s="442">
        <v>7796400</v>
      </c>
      <c r="J104" s="445">
        <v>0.38</v>
      </c>
      <c r="K104" s="446">
        <v>0.38</v>
      </c>
      <c r="L104" s="441">
        <v>0</v>
      </c>
      <c r="M104" s="442">
        <v>0</v>
      </c>
      <c r="N104" s="443">
        <v>0.16128664407509008</v>
      </c>
      <c r="O104" s="444">
        <v>4.6076779026217228E-2</v>
      </c>
      <c r="P104" s="443">
        <v>0</v>
      </c>
      <c r="Q104" s="444">
        <v>0</v>
      </c>
      <c r="R104" s="442">
        <v>6785715</v>
      </c>
      <c r="S104" s="522">
        <v>1350481.3547353589</v>
      </c>
      <c r="T104" s="406">
        <v>1350481.3547353589</v>
      </c>
      <c r="U104" s="407">
        <v>135344.3563980707</v>
      </c>
    </row>
    <row r="105" spans="3:21" x14ac:dyDescent="0.25">
      <c r="C105" s="422"/>
      <c r="D105" s="423"/>
      <c r="E105" s="423"/>
      <c r="F105" s="423"/>
      <c r="G105" s="423"/>
      <c r="H105" s="423"/>
      <c r="I105" s="423"/>
      <c r="J105" s="423"/>
      <c r="K105" s="423"/>
      <c r="L105" s="423"/>
      <c r="M105" s="423"/>
      <c r="N105" s="423"/>
      <c r="O105" s="423"/>
      <c r="P105" s="423"/>
      <c r="Q105" s="423"/>
      <c r="R105" s="423"/>
      <c r="S105" s="423"/>
      <c r="T105" s="423"/>
      <c r="U105" s="423"/>
    </row>
    <row r="106" spans="3:21" x14ac:dyDescent="0.25">
      <c r="C106" s="449" t="s">
        <v>33</v>
      </c>
      <c r="D106" s="450"/>
      <c r="E106" s="451"/>
      <c r="F106" s="451"/>
      <c r="G106" s="451"/>
      <c r="H106" s="451"/>
      <c r="I106" s="451"/>
      <c r="J106" s="451"/>
      <c r="K106" s="451"/>
      <c r="L106" s="451"/>
      <c r="M106" s="451"/>
      <c r="N106" s="451"/>
      <c r="O106" s="451"/>
      <c r="P106" s="451"/>
      <c r="Q106" s="451"/>
      <c r="R106" s="451"/>
      <c r="S106" s="451"/>
      <c r="T106" s="451"/>
      <c r="U106" s="452">
        <v>6069779.8906549085</v>
      </c>
    </row>
  </sheetData>
  <mergeCells count="1">
    <mergeCell ref="D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DD72-F305-40D3-BC23-04F54BF5C76E}">
  <sheetPr>
    <tabColor rgb="FFFFFF00"/>
  </sheetPr>
  <dimension ref="C1:R150"/>
  <sheetViews>
    <sheetView workbookViewId="0">
      <selection activeCell="D6" sqref="D6"/>
    </sheetView>
    <sheetView topLeftCell="A118" workbookViewId="1">
      <selection activeCell="G114" sqref="G114:G150"/>
    </sheetView>
  </sheetViews>
  <sheetFormatPr defaultRowHeight="15.75" x14ac:dyDescent="0.25"/>
  <cols>
    <col min="3" max="7" width="17.625" customWidth="1"/>
    <col min="13" max="13" width="9" customWidth="1"/>
    <col min="14" max="14" width="10.375" customWidth="1"/>
    <col min="15" max="15" width="10.75" customWidth="1"/>
  </cols>
  <sheetData>
    <row r="1" spans="3:18" x14ac:dyDescent="0.25">
      <c r="D1" s="792" t="s">
        <v>330</v>
      </c>
      <c r="E1" s="792"/>
      <c r="F1" s="792"/>
      <c r="G1" s="792"/>
      <c r="H1" s="792"/>
      <c r="I1" s="792"/>
      <c r="J1" s="792"/>
      <c r="K1" s="792"/>
      <c r="L1" s="792"/>
      <c r="M1" s="792"/>
      <c r="N1" s="28"/>
      <c r="O1" s="28"/>
      <c r="P1" s="28"/>
      <c r="Q1" s="28"/>
      <c r="R1" s="28"/>
    </row>
    <row r="2" spans="3:18" ht="15.75" customHeight="1" x14ac:dyDescent="0.25">
      <c r="C2" s="26" t="s">
        <v>34</v>
      </c>
      <c r="D2" s="274">
        <v>2020</v>
      </c>
    </row>
    <row r="3" spans="3:18" ht="15.75" customHeight="1" x14ac:dyDescent="0.25">
      <c r="C3" s="282" t="s">
        <v>384</v>
      </c>
      <c r="D3" s="274"/>
    </row>
    <row r="4" spans="3:18" ht="15.75" customHeight="1" thickBot="1" x14ac:dyDescent="0.3"/>
    <row r="5" spans="3:18" ht="31.5" x14ac:dyDescent="0.25">
      <c r="C5" s="287"/>
      <c r="D5" s="277" t="s">
        <v>16</v>
      </c>
      <c r="E5" s="283" t="s">
        <v>35</v>
      </c>
      <c r="F5" s="74" t="s">
        <v>36</v>
      </c>
      <c r="G5" s="274"/>
    </row>
    <row r="6" spans="3:18" s="1" customFormat="1" ht="32.25" thickBot="1" x14ac:dyDescent="0.3">
      <c r="C6" s="290" t="s">
        <v>331</v>
      </c>
      <c r="D6" s="286">
        <f>1000000*Notes!C54</f>
        <v>26958797.33984426</v>
      </c>
      <c r="E6" s="286">
        <f>1000000*Notes!D54</f>
        <v>6517822.2166542476</v>
      </c>
      <c r="F6" s="286">
        <f>1000000*Notes!E54</f>
        <v>13988496.878151093</v>
      </c>
    </row>
    <row r="21" spans="3:15" x14ac:dyDescent="0.25">
      <c r="C21" s="590"/>
      <c r="D21" s="591"/>
      <c r="E21" s="592"/>
      <c r="F21" s="592"/>
      <c r="G21" s="592"/>
      <c r="H21" s="592"/>
      <c r="I21" s="592"/>
      <c r="J21" s="591"/>
      <c r="K21" s="591"/>
      <c r="L21" s="590"/>
      <c r="M21" s="591"/>
      <c r="N21" s="591"/>
      <c r="O21" s="589"/>
    </row>
    <row r="22" spans="3:15" ht="20.25" x14ac:dyDescent="0.3">
      <c r="C22" s="593"/>
      <c r="D22" s="594" t="s">
        <v>470</v>
      </c>
      <c r="E22" s="595"/>
      <c r="F22" s="595"/>
      <c r="G22" s="595"/>
      <c r="H22" s="595"/>
      <c r="I22" s="595"/>
      <c r="J22" s="596"/>
      <c r="K22" s="596"/>
      <c r="L22" s="595"/>
      <c r="M22" s="596"/>
      <c r="N22" s="596"/>
      <c r="O22" s="597"/>
    </row>
    <row r="23" spans="3:15" x14ac:dyDescent="0.25">
      <c r="C23" s="590"/>
      <c r="D23" s="591"/>
      <c r="E23" s="592"/>
      <c r="F23" s="592"/>
      <c r="G23" s="592"/>
      <c r="H23" s="592"/>
      <c r="I23" s="592"/>
      <c r="J23" s="591"/>
      <c r="K23" s="598"/>
      <c r="L23" s="590"/>
      <c r="M23" s="591"/>
      <c r="N23" s="591"/>
      <c r="O23" s="599"/>
    </row>
    <row r="24" spans="3:15" x14ac:dyDescent="0.25">
      <c r="C24" s="590"/>
      <c r="D24" s="600"/>
      <c r="E24" s="601"/>
      <c r="F24" s="601"/>
      <c r="G24" s="601"/>
      <c r="H24" s="601"/>
      <c r="I24" s="601"/>
      <c r="J24" s="600"/>
      <c r="K24" s="600"/>
      <c r="L24" s="590"/>
      <c r="M24" s="600"/>
      <c r="N24" s="600"/>
      <c r="O24" s="602"/>
    </row>
    <row r="25" spans="3:15" x14ac:dyDescent="0.25">
      <c r="C25" s="603" t="s">
        <v>480</v>
      </c>
      <c r="D25" s="590"/>
      <c r="E25" s="590"/>
      <c r="F25" s="590"/>
      <c r="G25" s="590"/>
      <c r="H25" s="590"/>
      <c r="I25" s="590"/>
      <c r="J25" s="598"/>
      <c r="K25" s="604"/>
      <c r="L25" s="605"/>
      <c r="M25" s="598"/>
      <c r="N25" s="598"/>
      <c r="O25" s="590"/>
    </row>
    <row r="26" spans="3:15" x14ac:dyDescent="0.25">
      <c r="C26" s="590"/>
      <c r="D26" s="590"/>
      <c r="E26" s="606"/>
      <c r="F26" s="606"/>
      <c r="G26" s="606"/>
      <c r="H26" s="606"/>
      <c r="I26" s="606"/>
      <c r="J26" s="607"/>
      <c r="K26" s="590"/>
      <c r="L26" s="607"/>
      <c r="M26" s="590"/>
      <c r="N26" s="590"/>
      <c r="O26" s="602"/>
    </row>
    <row r="27" spans="3:15" x14ac:dyDescent="0.25">
      <c r="C27" s="608"/>
      <c r="D27" s="609" t="s">
        <v>471</v>
      </c>
      <c r="E27" s="610"/>
      <c r="F27" s="609" t="s">
        <v>456</v>
      </c>
      <c r="G27" s="610"/>
      <c r="H27" s="609" t="s">
        <v>472</v>
      </c>
      <c r="I27" s="611"/>
      <c r="J27" s="612" t="s">
        <v>473</v>
      </c>
      <c r="K27" s="610"/>
      <c r="L27" s="612" t="s">
        <v>474</v>
      </c>
      <c r="M27" s="613"/>
      <c r="N27" s="614"/>
      <c r="O27" s="615"/>
    </row>
    <row r="28" spans="3:15" x14ac:dyDescent="0.25">
      <c r="C28" s="616"/>
      <c r="D28" s="617" t="s">
        <v>475</v>
      </c>
      <c r="E28" s="618"/>
      <c r="F28" s="619" t="s">
        <v>460</v>
      </c>
      <c r="G28" s="620"/>
      <c r="H28" s="619" t="s">
        <v>476</v>
      </c>
      <c r="I28" s="621"/>
      <c r="J28" s="622" t="s">
        <v>477</v>
      </c>
      <c r="K28" s="620"/>
      <c r="L28" s="623" t="s">
        <v>478</v>
      </c>
      <c r="M28" s="624"/>
      <c r="N28" s="625"/>
      <c r="O28" s="626"/>
    </row>
    <row r="29" spans="3:15" x14ac:dyDescent="0.25">
      <c r="C29" s="627" t="s">
        <v>31</v>
      </c>
      <c r="D29" s="628"/>
      <c r="E29" s="629"/>
      <c r="F29" s="628"/>
      <c r="G29" s="629"/>
      <c r="H29" s="628"/>
      <c r="I29" s="629"/>
      <c r="J29" s="619" t="s">
        <v>479</v>
      </c>
      <c r="K29" s="620"/>
      <c r="L29" s="628" t="s">
        <v>419</v>
      </c>
      <c r="M29" s="629" t="s">
        <v>437</v>
      </c>
      <c r="N29" s="630" t="s">
        <v>420</v>
      </c>
      <c r="O29" s="631" t="s">
        <v>421</v>
      </c>
    </row>
    <row r="30" spans="3:15" x14ac:dyDescent="0.25">
      <c r="C30" s="632"/>
      <c r="D30" s="633" t="s">
        <v>422</v>
      </c>
      <c r="E30" s="634" t="s">
        <v>100</v>
      </c>
      <c r="F30" s="633" t="s">
        <v>422</v>
      </c>
      <c r="G30" s="634" t="s">
        <v>100</v>
      </c>
      <c r="H30" s="633" t="s">
        <v>422</v>
      </c>
      <c r="I30" s="634" t="s">
        <v>100</v>
      </c>
      <c r="J30" s="633" t="s">
        <v>422</v>
      </c>
      <c r="K30" s="634" t="s">
        <v>100</v>
      </c>
      <c r="L30" s="633" t="s">
        <v>423</v>
      </c>
      <c r="M30" s="634" t="s">
        <v>438</v>
      </c>
      <c r="N30" s="635" t="s">
        <v>424</v>
      </c>
      <c r="O30" s="636" t="s">
        <v>425</v>
      </c>
    </row>
    <row r="31" spans="3:15" x14ac:dyDescent="0.25">
      <c r="C31" s="395">
        <v>2020</v>
      </c>
      <c r="D31" s="396">
        <v>24.930020190895746</v>
      </c>
      <c r="E31" s="397">
        <v>27.458520566885589</v>
      </c>
      <c r="F31" s="637">
        <v>10.014285714285714</v>
      </c>
      <c r="G31" s="638">
        <v>35.142857142857146</v>
      </c>
      <c r="H31" s="639">
        <v>0</v>
      </c>
      <c r="I31" s="640">
        <v>0</v>
      </c>
      <c r="J31" s="641">
        <v>2.0639337563053851E-2</v>
      </c>
      <c r="K31" s="642">
        <v>5.6365264540511129E-3</v>
      </c>
      <c r="L31" s="643">
        <v>4849.0994727670914</v>
      </c>
      <c r="M31" s="644">
        <v>245.90733874698915</v>
      </c>
      <c r="N31" s="645">
        <v>72552.896995960502</v>
      </c>
      <c r="O31" s="407">
        <v>72552.896995960502</v>
      </c>
    </row>
    <row r="32" spans="3:15" x14ac:dyDescent="0.25">
      <c r="C32" s="410">
        <v>2054</v>
      </c>
      <c r="D32" s="411">
        <v>240.12481644640238</v>
      </c>
      <c r="E32" s="646">
        <v>279.33805737988251</v>
      </c>
      <c r="F32" s="637">
        <v>9.998025666337611</v>
      </c>
      <c r="G32" s="647">
        <v>34.998496240601504</v>
      </c>
      <c r="H32" s="641">
        <v>1.9747235387043705E-5</v>
      </c>
      <c r="I32" s="642">
        <v>1.2276114364287438E-6</v>
      </c>
      <c r="J32" s="641">
        <v>2.0743576554504178E-2</v>
      </c>
      <c r="K32" s="642">
        <v>5.6427299153793652E-3</v>
      </c>
      <c r="L32" s="648">
        <v>47011.506057701874</v>
      </c>
      <c r="M32" s="649">
        <v>3838.5734989159323</v>
      </c>
      <c r="N32" s="645">
        <v>724105.13288623758</v>
      </c>
      <c r="O32" s="407">
        <v>72569.341910116273</v>
      </c>
    </row>
    <row r="33" spans="3:15" x14ac:dyDescent="0.25">
      <c r="C33" s="650"/>
      <c r="D33" s="423"/>
      <c r="E33" s="423"/>
      <c r="F33" s="423"/>
      <c r="G33" s="423"/>
      <c r="H33" s="573"/>
      <c r="I33" s="573"/>
      <c r="J33" s="573"/>
      <c r="K33" s="573"/>
      <c r="L33" s="651"/>
      <c r="M33" s="651"/>
      <c r="N33" s="652"/>
      <c r="O33" s="429"/>
    </row>
    <row r="34" spans="3:15" x14ac:dyDescent="0.25">
      <c r="C34" s="432">
        <v>2025</v>
      </c>
      <c r="D34" s="433">
        <v>56.576313757881508</v>
      </c>
      <c r="E34" s="434">
        <v>64.499628921737894</v>
      </c>
      <c r="F34" s="653">
        <v>10.011894530763934</v>
      </c>
      <c r="G34" s="654">
        <v>35.121627598407791</v>
      </c>
      <c r="H34" s="641">
        <v>0</v>
      </c>
      <c r="I34" s="642">
        <v>0</v>
      </c>
      <c r="J34" s="641">
        <v>2.0639337563053851E-2</v>
      </c>
      <c r="K34" s="642">
        <v>5.6365264540511129E-3</v>
      </c>
      <c r="L34" s="655">
        <v>11004.570839242127</v>
      </c>
      <c r="M34" s="644">
        <v>770.57585772943958</v>
      </c>
      <c r="N34" s="645">
        <v>167678.08896487515</v>
      </c>
      <c r="O34" s="407">
        <v>119552.16003418899</v>
      </c>
    </row>
    <row r="35" spans="3:15" x14ac:dyDescent="0.25">
      <c r="C35" s="432">
        <v>2026</v>
      </c>
      <c r="D35" s="441">
        <v>62.905572471279811</v>
      </c>
      <c r="E35" s="442">
        <v>71.907850592708201</v>
      </c>
      <c r="F35" s="656">
        <v>10.011416294059579</v>
      </c>
      <c r="G35" s="657">
        <v>35.117381689517913</v>
      </c>
      <c r="H35" s="641">
        <v>0</v>
      </c>
      <c r="I35" s="642">
        <v>0</v>
      </c>
      <c r="J35" s="641">
        <v>2.0639337563053851E-2</v>
      </c>
      <c r="K35" s="642">
        <v>5.6365264540511129E-3</v>
      </c>
      <c r="L35" s="658">
        <v>12235.665112537359</v>
      </c>
      <c r="M35" s="659">
        <v>875.50956152580409</v>
      </c>
      <c r="N35" s="645">
        <v>186703.12735865946</v>
      </c>
      <c r="O35" s="407">
        <v>124408.17707766671</v>
      </c>
    </row>
    <row r="36" spans="3:15" x14ac:dyDescent="0.25">
      <c r="C36" s="432">
        <v>2027</v>
      </c>
      <c r="D36" s="441">
        <v>69.234831184676295</v>
      </c>
      <c r="E36" s="442">
        <v>79.316072263678507</v>
      </c>
      <c r="F36" s="656">
        <v>10.010938057355222</v>
      </c>
      <c r="G36" s="657">
        <v>35.113135780628042</v>
      </c>
      <c r="H36" s="641">
        <v>0</v>
      </c>
      <c r="I36" s="642">
        <v>0</v>
      </c>
      <c r="J36" s="641">
        <v>2.0639337563053851E-2</v>
      </c>
      <c r="K36" s="642">
        <v>5.6365264540511129E-3</v>
      </c>
      <c r="L36" s="658">
        <v>13466.759385832236</v>
      </c>
      <c r="M36" s="659">
        <v>980.44326532234413</v>
      </c>
      <c r="N36" s="645">
        <v>205728.16575244127</v>
      </c>
      <c r="O36" s="407">
        <v>128117.16212072318</v>
      </c>
    </row>
    <row r="37" spans="3:15" x14ac:dyDescent="0.25">
      <c r="C37" s="432">
        <v>2028</v>
      </c>
      <c r="D37" s="441">
        <v>75.564089898074599</v>
      </c>
      <c r="E37" s="442">
        <v>86.724293934648813</v>
      </c>
      <c r="F37" s="656">
        <v>10.010459820650865</v>
      </c>
      <c r="G37" s="657">
        <v>35.108889871738171</v>
      </c>
      <c r="H37" s="641">
        <v>0</v>
      </c>
      <c r="I37" s="642">
        <v>0</v>
      </c>
      <c r="J37" s="641">
        <v>2.0639337563053851E-2</v>
      </c>
      <c r="K37" s="642">
        <v>5.6365264540511129E-3</v>
      </c>
      <c r="L37" s="658">
        <v>14697.853659127468</v>
      </c>
      <c r="M37" s="659">
        <v>1085.3769691187076</v>
      </c>
      <c r="N37" s="645">
        <v>224753.20414622559</v>
      </c>
      <c r="O37" s="407">
        <v>130808.41109326803</v>
      </c>
    </row>
    <row r="38" spans="3:15" x14ac:dyDescent="0.25">
      <c r="C38" s="432">
        <v>2029</v>
      </c>
      <c r="D38" s="441">
        <v>81.893348611471083</v>
      </c>
      <c r="E38" s="442">
        <v>94.132515605619119</v>
      </c>
      <c r="F38" s="656">
        <v>10.00998158394651</v>
      </c>
      <c r="G38" s="657">
        <v>35.1046439628483</v>
      </c>
      <c r="H38" s="641">
        <v>0</v>
      </c>
      <c r="I38" s="642">
        <v>0</v>
      </c>
      <c r="J38" s="641">
        <v>2.0639337563053851E-2</v>
      </c>
      <c r="K38" s="642">
        <v>5.6365264540511129E-3</v>
      </c>
      <c r="L38" s="658">
        <v>15928.947932422345</v>
      </c>
      <c r="M38" s="659">
        <v>1190.3106729152464</v>
      </c>
      <c r="N38" s="645">
        <v>243778.24254000734</v>
      </c>
      <c r="O38" s="407">
        <v>132599.21182537236</v>
      </c>
    </row>
    <row r="39" spans="3:15" x14ac:dyDescent="0.25">
      <c r="C39" s="432">
        <v>2030</v>
      </c>
      <c r="D39" s="441">
        <v>88.222607324867568</v>
      </c>
      <c r="E39" s="442">
        <v>101.54073727658943</v>
      </c>
      <c r="F39" s="656">
        <v>10.009503347242154</v>
      </c>
      <c r="G39" s="657">
        <v>35.100398053958429</v>
      </c>
      <c r="H39" s="641">
        <v>0</v>
      </c>
      <c r="I39" s="642">
        <v>0</v>
      </c>
      <c r="J39" s="641">
        <v>2.0639337563053851E-2</v>
      </c>
      <c r="K39" s="642">
        <v>5.6365264540511129E-3</v>
      </c>
      <c r="L39" s="658">
        <v>17160.042205717222</v>
      </c>
      <c r="M39" s="659">
        <v>1295.2443767117875</v>
      </c>
      <c r="N39" s="645">
        <v>262803.28093378915</v>
      </c>
      <c r="O39" s="407">
        <v>133595.86183337308</v>
      </c>
    </row>
    <row r="40" spans="3:15" x14ac:dyDescent="0.25">
      <c r="C40" s="432">
        <v>2031</v>
      </c>
      <c r="D40" s="441">
        <v>94.551866038265871</v>
      </c>
      <c r="E40" s="442">
        <v>108.94895894755973</v>
      </c>
      <c r="F40" s="656">
        <v>10.009025110537799</v>
      </c>
      <c r="G40" s="657">
        <v>35.096152145068558</v>
      </c>
      <c r="H40" s="641">
        <v>0</v>
      </c>
      <c r="I40" s="642">
        <v>0</v>
      </c>
      <c r="J40" s="641">
        <v>2.0639337563053851E-2</v>
      </c>
      <c r="K40" s="642">
        <v>5.6365264540511129E-3</v>
      </c>
      <c r="L40" s="658">
        <v>18391.136479012453</v>
      </c>
      <c r="M40" s="659">
        <v>1400.1780805081501</v>
      </c>
      <c r="N40" s="645">
        <v>281828.31932757347</v>
      </c>
      <c r="O40" s="407">
        <v>133894.60433055062</v>
      </c>
    </row>
    <row r="41" spans="3:15" x14ac:dyDescent="0.25">
      <c r="C41" s="432">
        <v>2032</v>
      </c>
      <c r="D41" s="441">
        <v>100.88112475166236</v>
      </c>
      <c r="E41" s="442">
        <v>116.35718061853004</v>
      </c>
      <c r="F41" s="656">
        <v>10.008546873833442</v>
      </c>
      <c r="G41" s="657">
        <v>35.091906236178687</v>
      </c>
      <c r="H41" s="641">
        <v>0</v>
      </c>
      <c r="I41" s="642">
        <v>0</v>
      </c>
      <c r="J41" s="641">
        <v>2.0639337563053851E-2</v>
      </c>
      <c r="K41" s="642">
        <v>5.6365264540511129E-3</v>
      </c>
      <c r="L41" s="658">
        <v>19622.230752307332</v>
      </c>
      <c r="M41" s="659">
        <v>1505.11178430469</v>
      </c>
      <c r="N41" s="645">
        <v>300853.35772135522</v>
      </c>
      <c r="O41" s="407">
        <v>133582.48880601273</v>
      </c>
    </row>
    <row r="42" spans="3:15" x14ac:dyDescent="0.25">
      <c r="C42" s="432">
        <v>2033</v>
      </c>
      <c r="D42" s="441">
        <v>107.21038346506066</v>
      </c>
      <c r="E42" s="442">
        <v>123.76540228950034</v>
      </c>
      <c r="F42" s="656">
        <v>10.008068637129087</v>
      </c>
      <c r="G42" s="657">
        <v>35.087660327288816</v>
      </c>
      <c r="H42" s="641">
        <v>0</v>
      </c>
      <c r="I42" s="642">
        <v>0</v>
      </c>
      <c r="J42" s="641">
        <v>2.0639337563053851E-2</v>
      </c>
      <c r="K42" s="642">
        <v>5.6365264540511129E-3</v>
      </c>
      <c r="L42" s="658">
        <v>20853.32502560256</v>
      </c>
      <c r="M42" s="659">
        <v>1610.0454881010544</v>
      </c>
      <c r="N42" s="645">
        <v>319878.39611513953</v>
      </c>
      <c r="O42" s="407">
        <v>132738.1620353898</v>
      </c>
    </row>
    <row r="43" spans="3:15" x14ac:dyDescent="0.25">
      <c r="C43" s="432">
        <v>2034</v>
      </c>
      <c r="D43" s="441">
        <v>113.53964217845714</v>
      </c>
      <c r="E43" s="442">
        <v>131.17362396047247</v>
      </c>
      <c r="F43" s="656">
        <v>10.00759040042473</v>
      </c>
      <c r="G43" s="657">
        <v>35.083414418398945</v>
      </c>
      <c r="H43" s="641">
        <v>0</v>
      </c>
      <c r="I43" s="642">
        <v>0</v>
      </c>
      <c r="J43" s="641">
        <v>2.0639337563053851E-2</v>
      </c>
      <c r="K43" s="642">
        <v>5.6365264540511129E-3</v>
      </c>
      <c r="L43" s="658">
        <v>22084.419298897436</v>
      </c>
      <c r="M43" s="659">
        <v>1714.9791918977719</v>
      </c>
      <c r="N43" s="645">
        <v>338903.43450892379</v>
      </c>
      <c r="O43" s="407">
        <v>131432.59494254648</v>
      </c>
    </row>
    <row r="44" spans="3:15" x14ac:dyDescent="0.25">
      <c r="C44" s="432">
        <v>2035</v>
      </c>
      <c r="D44" s="441">
        <v>119.86890089185363</v>
      </c>
      <c r="E44" s="442">
        <v>138.58184563144277</v>
      </c>
      <c r="F44" s="656">
        <v>10.007112163720375</v>
      </c>
      <c r="G44" s="657">
        <v>35.079168509509074</v>
      </c>
      <c r="H44" s="641">
        <v>0</v>
      </c>
      <c r="I44" s="642">
        <v>0</v>
      </c>
      <c r="J44" s="641">
        <v>2.0639337563053851E-2</v>
      </c>
      <c r="K44" s="642">
        <v>5.6365264540511129E-3</v>
      </c>
      <c r="L44" s="658">
        <v>23315.513572192314</v>
      </c>
      <c r="M44" s="659">
        <v>1819.9128956943116</v>
      </c>
      <c r="N44" s="645">
        <v>357928.4729027056</v>
      </c>
      <c r="O44" s="407">
        <v>129729.75032025384</v>
      </c>
    </row>
    <row r="45" spans="3:15" x14ac:dyDescent="0.25">
      <c r="C45" s="432">
        <v>2036</v>
      </c>
      <c r="D45" s="441">
        <v>126.19815960525193</v>
      </c>
      <c r="E45" s="442">
        <v>145.99006730241308</v>
      </c>
      <c r="F45" s="656">
        <v>10.006633927016019</v>
      </c>
      <c r="G45" s="657">
        <v>35.074922600619203</v>
      </c>
      <c r="H45" s="641">
        <v>0</v>
      </c>
      <c r="I45" s="642">
        <v>0</v>
      </c>
      <c r="J45" s="641">
        <v>2.0639337563053851E-2</v>
      </c>
      <c r="K45" s="642">
        <v>5.6365264540511129E-3</v>
      </c>
      <c r="L45" s="658">
        <v>24546.607845487546</v>
      </c>
      <c r="M45" s="659">
        <v>1924.8465994906744</v>
      </c>
      <c r="N45" s="645">
        <v>376953.51129648986</v>
      </c>
      <c r="O45" s="407">
        <v>127687.1960370318</v>
      </c>
    </row>
    <row r="46" spans="3:15" x14ac:dyDescent="0.25">
      <c r="C46" s="432">
        <v>2037</v>
      </c>
      <c r="D46" s="441">
        <v>132.52741831864842</v>
      </c>
      <c r="E46" s="442">
        <v>153.39828897338339</v>
      </c>
      <c r="F46" s="656">
        <v>10.006155690311662</v>
      </c>
      <c r="G46" s="657">
        <v>35.070676691729325</v>
      </c>
      <c r="H46" s="641">
        <v>0</v>
      </c>
      <c r="I46" s="642">
        <v>0</v>
      </c>
      <c r="J46" s="641">
        <v>2.0639337563053851E-2</v>
      </c>
      <c r="K46" s="642">
        <v>5.6365264540511129E-3</v>
      </c>
      <c r="L46" s="658">
        <v>25777.702118782425</v>
      </c>
      <c r="M46" s="659">
        <v>2029.7803032872141</v>
      </c>
      <c r="N46" s="645">
        <v>395978.54969027173</v>
      </c>
      <c r="O46" s="407">
        <v>125356.66800506013</v>
      </c>
    </row>
    <row r="47" spans="3:15" x14ac:dyDescent="0.25">
      <c r="C47" s="432">
        <v>2038</v>
      </c>
      <c r="D47" s="441">
        <v>138.85667703204672</v>
      </c>
      <c r="E47" s="442">
        <v>160.80651064435369</v>
      </c>
      <c r="F47" s="656">
        <v>10.005677453607307</v>
      </c>
      <c r="G47" s="657">
        <v>35.066430782839454</v>
      </c>
      <c r="H47" s="641">
        <v>0</v>
      </c>
      <c r="I47" s="642">
        <v>0</v>
      </c>
      <c r="J47" s="641">
        <v>2.0639337563053851E-2</v>
      </c>
      <c r="K47" s="642">
        <v>5.6365264540511129E-3</v>
      </c>
      <c r="L47" s="658">
        <v>27008.796392077653</v>
      </c>
      <c r="M47" s="659">
        <v>2134.714007083579</v>
      </c>
      <c r="N47" s="645">
        <v>415003.58808405598</v>
      </c>
      <c r="O47" s="407">
        <v>122784.58685806418</v>
      </c>
    </row>
    <row r="48" spans="3:15" x14ac:dyDescent="0.25">
      <c r="C48" s="432">
        <v>2039</v>
      </c>
      <c r="D48" s="441">
        <v>145.1859357454432</v>
      </c>
      <c r="E48" s="442">
        <v>168.214732315324</v>
      </c>
      <c r="F48" s="656">
        <v>10.00519921690295</v>
      </c>
      <c r="G48" s="657">
        <v>35.062184873949583</v>
      </c>
      <c r="H48" s="641">
        <v>0</v>
      </c>
      <c r="I48" s="642">
        <v>0</v>
      </c>
      <c r="J48" s="641">
        <v>2.0639337563053851E-2</v>
      </c>
      <c r="K48" s="642">
        <v>5.6365264540511129E-3</v>
      </c>
      <c r="L48" s="658">
        <v>28239.890665372532</v>
      </c>
      <c r="M48" s="659">
        <v>2239.6477108801187</v>
      </c>
      <c r="N48" s="645">
        <v>434028.6264778378</v>
      </c>
      <c r="O48" s="407">
        <v>120012.53198637124</v>
      </c>
    </row>
    <row r="49" spans="3:15" x14ac:dyDescent="0.25">
      <c r="C49" s="432">
        <v>2040</v>
      </c>
      <c r="D49" s="441">
        <v>151.51519445884151</v>
      </c>
      <c r="E49" s="442">
        <v>175.62295398629431</v>
      </c>
      <c r="F49" s="656">
        <v>10.004720980198595</v>
      </c>
      <c r="G49" s="657">
        <v>35.057938965059712</v>
      </c>
      <c r="H49" s="641">
        <v>0</v>
      </c>
      <c r="I49" s="642">
        <v>0</v>
      </c>
      <c r="J49" s="641">
        <v>2.0639337563053851E-2</v>
      </c>
      <c r="K49" s="642">
        <v>5.6365264540511129E-3</v>
      </c>
      <c r="L49" s="658">
        <v>29470.984938667767</v>
      </c>
      <c r="M49" s="659">
        <v>2344.581414676481</v>
      </c>
      <c r="N49" s="645">
        <v>453053.66487162217</v>
      </c>
      <c r="O49" s="407">
        <v>117077.67629729326</v>
      </c>
    </row>
    <row r="50" spans="3:15" x14ac:dyDescent="0.25">
      <c r="C50" s="432">
        <v>2041</v>
      </c>
      <c r="D50" s="441">
        <v>157.84445317223799</v>
      </c>
      <c r="E50" s="442">
        <v>183.03117565726461</v>
      </c>
      <c r="F50" s="656">
        <v>10.004242743494238</v>
      </c>
      <c r="G50" s="657">
        <v>35.053693056169841</v>
      </c>
      <c r="H50" s="641">
        <v>0</v>
      </c>
      <c r="I50" s="642">
        <v>0</v>
      </c>
      <c r="J50" s="641">
        <v>2.0639337563053851E-2</v>
      </c>
      <c r="K50" s="642">
        <v>5.6365264540511129E-3</v>
      </c>
      <c r="L50" s="658">
        <v>30702.079211962639</v>
      </c>
      <c r="M50" s="659">
        <v>2449.5151184730212</v>
      </c>
      <c r="N50" s="645">
        <v>472078.70326540386</v>
      </c>
      <c r="O50" s="407">
        <v>114013.18481075689</v>
      </c>
    </row>
    <row r="51" spans="3:15" x14ac:dyDescent="0.25">
      <c r="C51" s="432">
        <v>2042</v>
      </c>
      <c r="D51" s="441">
        <v>164.17371188563448</v>
      </c>
      <c r="E51" s="442">
        <v>190.43939732823492</v>
      </c>
      <c r="F51" s="656">
        <v>10.003764506789883</v>
      </c>
      <c r="G51" s="657">
        <v>35.04944714727997</v>
      </c>
      <c r="H51" s="641">
        <v>0</v>
      </c>
      <c r="I51" s="642">
        <v>0</v>
      </c>
      <c r="J51" s="641">
        <v>2.0639337563053851E-2</v>
      </c>
      <c r="K51" s="642">
        <v>5.6365264540511129E-3</v>
      </c>
      <c r="L51" s="658">
        <v>31933.173485257521</v>
      </c>
      <c r="M51" s="659">
        <v>2554.4488222695632</v>
      </c>
      <c r="N51" s="645">
        <v>491103.74165918567</v>
      </c>
      <c r="O51" s="407">
        <v>110848.57996132984</v>
      </c>
    </row>
    <row r="52" spans="3:15" x14ac:dyDescent="0.25">
      <c r="C52" s="432">
        <v>2043</v>
      </c>
      <c r="D52" s="441">
        <v>170.50297059903278</v>
      </c>
      <c r="E52" s="442">
        <v>197.84761899920522</v>
      </c>
      <c r="F52" s="656">
        <v>10.003286270085527</v>
      </c>
      <c r="G52" s="657">
        <v>35.045201238390092</v>
      </c>
      <c r="H52" s="641">
        <v>0</v>
      </c>
      <c r="I52" s="642">
        <v>0</v>
      </c>
      <c r="J52" s="641">
        <v>2.0639337563053851E-2</v>
      </c>
      <c r="K52" s="642">
        <v>5.6365264540511129E-3</v>
      </c>
      <c r="L52" s="658">
        <v>33164.267758552749</v>
      </c>
      <c r="M52" s="659">
        <v>2659.3825260659255</v>
      </c>
      <c r="N52" s="645">
        <v>510128.78005296999</v>
      </c>
      <c r="O52" s="407">
        <v>107610.07625686923</v>
      </c>
    </row>
    <row r="53" spans="3:15" x14ac:dyDescent="0.25">
      <c r="C53" s="432">
        <v>2044</v>
      </c>
      <c r="D53" s="441">
        <v>176.83222931242926</v>
      </c>
      <c r="E53" s="442">
        <v>205.25584067017735</v>
      </c>
      <c r="F53" s="656">
        <v>10.002808033381172</v>
      </c>
      <c r="G53" s="657">
        <v>35.040955329500221</v>
      </c>
      <c r="H53" s="641">
        <v>0</v>
      </c>
      <c r="I53" s="642">
        <v>0</v>
      </c>
      <c r="J53" s="641">
        <v>2.0639337563053851E-2</v>
      </c>
      <c r="K53" s="642">
        <v>5.6365264540511129E-3</v>
      </c>
      <c r="L53" s="658">
        <v>34395.362031847624</v>
      </c>
      <c r="M53" s="659">
        <v>2764.3162298626448</v>
      </c>
      <c r="N53" s="645">
        <v>529153.81844675436</v>
      </c>
      <c r="O53" s="407">
        <v>104320.88673977667</v>
      </c>
    </row>
    <row r="54" spans="3:15" x14ac:dyDescent="0.25">
      <c r="C54" s="432">
        <v>2045</v>
      </c>
      <c r="D54" s="441">
        <v>183.16148802582757</v>
      </c>
      <c r="E54" s="442">
        <v>212.66406234114766</v>
      </c>
      <c r="F54" s="656">
        <v>10.002329796676815</v>
      </c>
      <c r="G54" s="657">
        <v>35.03670942061035</v>
      </c>
      <c r="H54" s="641">
        <v>0</v>
      </c>
      <c r="I54" s="642">
        <v>0</v>
      </c>
      <c r="J54" s="641">
        <v>2.0639337563053851E-2</v>
      </c>
      <c r="K54" s="642">
        <v>5.6365264540511129E-3</v>
      </c>
      <c r="L54" s="658">
        <v>35626.456305142856</v>
      </c>
      <c r="M54" s="659">
        <v>2869.2499336590072</v>
      </c>
      <c r="N54" s="645">
        <v>548178.85684053856</v>
      </c>
      <c r="O54" s="407">
        <v>101001.50350795075</v>
      </c>
    </row>
    <row r="55" spans="3:15" x14ac:dyDescent="0.25">
      <c r="C55" s="432">
        <v>2046</v>
      </c>
      <c r="D55" s="441">
        <v>189.49074673922405</v>
      </c>
      <c r="E55" s="442">
        <v>220.07228401211796</v>
      </c>
      <c r="F55" s="656">
        <v>10.001851559972458</v>
      </c>
      <c r="G55" s="657">
        <v>35.032463511720479</v>
      </c>
      <c r="H55" s="641">
        <v>0</v>
      </c>
      <c r="I55" s="642">
        <v>0</v>
      </c>
      <c r="J55" s="641">
        <v>2.0639337563053851E-2</v>
      </c>
      <c r="K55" s="642">
        <v>5.6365264540511129E-3</v>
      </c>
      <c r="L55" s="658">
        <v>36857.550578437738</v>
      </c>
      <c r="M55" s="659">
        <v>2974.1836374555451</v>
      </c>
      <c r="N55" s="645">
        <v>567203.89523432031</v>
      </c>
      <c r="O55" s="407">
        <v>97669.954377882314</v>
      </c>
    </row>
    <row r="56" spans="3:15" x14ac:dyDescent="0.25">
      <c r="C56" s="432">
        <v>2047</v>
      </c>
      <c r="D56" s="441">
        <v>195.82000545262235</v>
      </c>
      <c r="E56" s="442">
        <v>227.48050568308827</v>
      </c>
      <c r="F56" s="656">
        <v>10.001373323268103</v>
      </c>
      <c r="G56" s="657">
        <v>35.028217602830608</v>
      </c>
      <c r="H56" s="641">
        <v>0</v>
      </c>
      <c r="I56" s="642">
        <v>0</v>
      </c>
      <c r="J56" s="641">
        <v>2.0639337563053851E-2</v>
      </c>
      <c r="K56" s="642">
        <v>5.6365264540511129E-3</v>
      </c>
      <c r="L56" s="658">
        <v>38088.644851732963</v>
      </c>
      <c r="M56" s="659">
        <v>3079.1173412519115</v>
      </c>
      <c r="N56" s="645">
        <v>586228.93362810463</v>
      </c>
      <c r="O56" s="407">
        <v>94342.037610898624</v>
      </c>
    </row>
    <row r="57" spans="3:15" x14ac:dyDescent="0.25">
      <c r="C57" s="432">
        <v>2048</v>
      </c>
      <c r="D57" s="441">
        <v>202.14926416601884</v>
      </c>
      <c r="E57" s="442">
        <v>234.88872735405857</v>
      </c>
      <c r="F57" s="656">
        <v>10.000895086563746</v>
      </c>
      <c r="G57" s="657">
        <v>35.023971693940737</v>
      </c>
      <c r="H57" s="641">
        <v>0</v>
      </c>
      <c r="I57" s="642">
        <v>0</v>
      </c>
      <c r="J57" s="641">
        <v>2.0639337563053851E-2</v>
      </c>
      <c r="K57" s="642">
        <v>5.6365264540511129E-3</v>
      </c>
      <c r="L57" s="658">
        <v>39319.739125027838</v>
      </c>
      <c r="M57" s="659">
        <v>3184.0510450484499</v>
      </c>
      <c r="N57" s="645">
        <v>605253.97202188638</v>
      </c>
      <c r="O57" s="407">
        <v>91031.536474312481</v>
      </c>
    </row>
    <row r="58" spans="3:15" x14ac:dyDescent="0.25">
      <c r="C58" s="432">
        <v>2049</v>
      </c>
      <c r="D58" s="441">
        <v>208.47852287941532</v>
      </c>
      <c r="E58" s="442">
        <v>242.29694902502888</v>
      </c>
      <c r="F58" s="656">
        <v>10.000416849859391</v>
      </c>
      <c r="G58" s="657">
        <v>35.019725785050866</v>
      </c>
      <c r="H58" s="641">
        <v>0</v>
      </c>
      <c r="I58" s="642">
        <v>0</v>
      </c>
      <c r="J58" s="641">
        <v>2.0639337563053851E-2</v>
      </c>
      <c r="K58" s="642">
        <v>5.6365264540511129E-3</v>
      </c>
      <c r="L58" s="658">
        <v>40550.83339832272</v>
      </c>
      <c r="M58" s="659">
        <v>3288.9847488449877</v>
      </c>
      <c r="N58" s="645">
        <v>624279.01041566825</v>
      </c>
      <c r="O58" s="407">
        <v>87750.415271316335</v>
      </c>
    </row>
    <row r="59" spans="3:15" x14ac:dyDescent="0.25">
      <c r="C59" s="432">
        <v>2050</v>
      </c>
      <c r="D59" s="441">
        <v>214.80778159281363</v>
      </c>
      <c r="E59" s="442">
        <v>249.70517069599919</v>
      </c>
      <c r="F59" s="656">
        <v>9.9999386131550345</v>
      </c>
      <c r="G59" s="657">
        <v>35.015479876160995</v>
      </c>
      <c r="H59" s="641">
        <v>6.1387221801656455E-7</v>
      </c>
      <c r="I59" s="642">
        <v>0</v>
      </c>
      <c r="J59" s="641">
        <v>2.0642584145338969E-2</v>
      </c>
      <c r="K59" s="642">
        <v>5.6365264540511129E-3</v>
      </c>
      <c r="L59" s="658">
        <v>41790.9692082494</v>
      </c>
      <c r="M59" s="659">
        <v>3394.6528907040188</v>
      </c>
      <c r="N59" s="645">
        <v>643443.25868909678</v>
      </c>
      <c r="O59" s="407">
        <v>84527.285946541611</v>
      </c>
    </row>
    <row r="60" spans="3:15" x14ac:dyDescent="0.25">
      <c r="C60" s="432">
        <v>2051</v>
      </c>
      <c r="D60" s="441">
        <v>221.13704030621011</v>
      </c>
      <c r="E60" s="442">
        <v>257.11339236696949</v>
      </c>
      <c r="F60" s="656">
        <v>9.9994603764506795</v>
      </c>
      <c r="G60" s="657">
        <v>35.011233967271124</v>
      </c>
      <c r="H60" s="641">
        <v>5.3965267024919106E-6</v>
      </c>
      <c r="I60" s="642">
        <v>0</v>
      </c>
      <c r="J60" s="641">
        <v>2.0667864566832585E-2</v>
      </c>
      <c r="K60" s="642">
        <v>5.6365264540511129E-3</v>
      </c>
      <c r="L60" s="658">
        <v>43094.808793433571</v>
      </c>
      <c r="M60" s="659">
        <v>3505.5050275540289</v>
      </c>
      <c r="N60" s="645">
        <v>663588.46881086344</v>
      </c>
      <c r="O60" s="407">
        <v>81470.75151842201</v>
      </c>
    </row>
    <row r="61" spans="3:15" x14ac:dyDescent="0.25">
      <c r="C61" s="432">
        <v>2052</v>
      </c>
      <c r="D61" s="441">
        <v>227.46629901960841</v>
      </c>
      <c r="E61" s="442">
        <v>264.5216140379398</v>
      </c>
      <c r="F61" s="656">
        <v>9.9989821397463228</v>
      </c>
      <c r="G61" s="657">
        <v>35.006988058381253</v>
      </c>
      <c r="H61" s="641">
        <v>1.0179638681731551E-5</v>
      </c>
      <c r="I61" s="642">
        <v>0</v>
      </c>
      <c r="J61" s="641">
        <v>2.0693123396370271E-2</v>
      </c>
      <c r="K61" s="642">
        <v>5.6365264540511129E-3</v>
      </c>
      <c r="L61" s="658">
        <v>44402.733602833861</v>
      </c>
      <c r="M61" s="659">
        <v>3616.7056140176187</v>
      </c>
      <c r="N61" s="645">
        <v>683796.81444796512</v>
      </c>
      <c r="O61" s="407">
        <v>78459.617637803414</v>
      </c>
    </row>
    <row r="62" spans="3:15" x14ac:dyDescent="0.25">
      <c r="C62" s="432">
        <v>2053</v>
      </c>
      <c r="D62" s="441">
        <v>233.7955577330049</v>
      </c>
      <c r="E62" s="442">
        <v>271.92983570891192</v>
      </c>
      <c r="F62" s="656">
        <v>9.9985039030419678</v>
      </c>
      <c r="G62" s="657">
        <v>35.002742149491382</v>
      </c>
      <c r="H62" s="641">
        <v>1.4963208221349666E-5</v>
      </c>
      <c r="I62" s="642">
        <v>0</v>
      </c>
      <c r="J62" s="641">
        <v>2.0718360702772838E-2</v>
      </c>
      <c r="K62" s="642">
        <v>5.6365264540511129E-3</v>
      </c>
      <c r="L62" s="658">
        <v>45714.738529702649</v>
      </c>
      <c r="M62" s="659">
        <v>3728.2542140480714</v>
      </c>
      <c r="N62" s="645">
        <v>704068.21667101036</v>
      </c>
      <c r="O62" s="407">
        <v>75500.543168071425</v>
      </c>
    </row>
    <row r="63" spans="3:15" x14ac:dyDescent="0.25">
      <c r="C63" s="432">
        <v>2054</v>
      </c>
      <c r="D63" s="441">
        <v>240.1248164464032</v>
      </c>
      <c r="E63" s="442">
        <v>279.33805737988223</v>
      </c>
      <c r="F63" s="656">
        <v>9.998025666337611</v>
      </c>
      <c r="G63" s="657">
        <v>34.998496240601504</v>
      </c>
      <c r="H63" s="641">
        <v>1.9747235387043705E-5</v>
      </c>
      <c r="I63" s="642">
        <v>1.2276114364287438E-6</v>
      </c>
      <c r="J63" s="641">
        <v>2.0743576554504178E-2</v>
      </c>
      <c r="K63" s="642">
        <v>5.6427299153793652E-3</v>
      </c>
      <c r="L63" s="658">
        <v>47011.506057702034</v>
      </c>
      <c r="M63" s="659">
        <v>3838.5734989158195</v>
      </c>
      <c r="N63" s="645">
        <v>724105.1328862384</v>
      </c>
      <c r="O63" s="407">
        <v>72569.34191011636</v>
      </c>
    </row>
    <row r="64" spans="3:15" x14ac:dyDescent="0.25">
      <c r="C64" s="650"/>
      <c r="D64" s="423"/>
      <c r="E64" s="423"/>
      <c r="F64" s="423"/>
      <c r="G64" s="423"/>
      <c r="H64" s="423"/>
      <c r="I64" s="423"/>
      <c r="J64" s="652"/>
      <c r="K64" s="652"/>
      <c r="L64" s="652"/>
      <c r="M64" s="652"/>
      <c r="N64" s="652"/>
      <c r="O64" s="429"/>
    </row>
    <row r="65" spans="3:15" x14ac:dyDescent="0.25">
      <c r="C65" s="660" t="s">
        <v>33</v>
      </c>
      <c r="D65" s="661"/>
      <c r="E65" s="661"/>
      <c r="F65" s="661"/>
      <c r="G65" s="661"/>
      <c r="H65" s="661"/>
      <c r="I65" s="661"/>
      <c r="J65" s="661"/>
      <c r="K65" s="661"/>
      <c r="L65" s="661"/>
      <c r="M65" s="661"/>
      <c r="N65" s="662">
        <v>13318465.63376198</v>
      </c>
      <c r="O65" s="662">
        <v>3344492.9587952141</v>
      </c>
    </row>
    <row r="68" spans="3:15" ht="20.25" x14ac:dyDescent="0.3">
      <c r="C68" s="593" t="s">
        <v>481</v>
      </c>
      <c r="D68" s="594" t="s">
        <v>482</v>
      </c>
      <c r="E68" s="595"/>
      <c r="F68" s="595"/>
      <c r="G68" s="595"/>
      <c r="H68" s="595"/>
      <c r="I68" s="595"/>
      <c r="J68" s="596"/>
      <c r="K68" s="596"/>
      <c r="L68" s="596"/>
      <c r="M68" s="597"/>
      <c r="N68" s="597"/>
      <c r="O68" s="597"/>
    </row>
    <row r="69" spans="3:15" x14ac:dyDescent="0.25">
      <c r="C69" s="590"/>
      <c r="D69" s="591"/>
      <c r="E69" s="592"/>
      <c r="F69" s="592"/>
      <c r="G69" s="592"/>
      <c r="H69" s="592"/>
      <c r="I69" s="592"/>
      <c r="J69" s="591"/>
      <c r="K69" s="591"/>
      <c r="L69" s="591"/>
      <c r="M69" s="599"/>
      <c r="N69" s="590"/>
      <c r="O69" s="589"/>
    </row>
    <row r="70" spans="3:15" x14ac:dyDescent="0.25">
      <c r="C70" s="590"/>
      <c r="D70" s="600"/>
      <c r="E70" s="601"/>
      <c r="F70" s="601"/>
      <c r="G70" s="601"/>
      <c r="H70" s="601"/>
      <c r="I70" s="601"/>
      <c r="J70" s="600"/>
      <c r="K70" s="600"/>
      <c r="L70" s="600"/>
      <c r="M70" s="602"/>
      <c r="N70" s="590"/>
      <c r="O70" s="589"/>
    </row>
    <row r="71" spans="3:15" x14ac:dyDescent="0.25">
      <c r="C71" s="603" t="s">
        <v>480</v>
      </c>
      <c r="D71" s="590"/>
      <c r="E71" s="590"/>
      <c r="F71" s="590"/>
      <c r="G71" s="590"/>
      <c r="H71" s="590"/>
      <c r="I71" s="590"/>
      <c r="J71" s="598"/>
      <c r="K71" s="598"/>
      <c r="L71" s="598"/>
      <c r="M71" s="590"/>
      <c r="N71" s="590"/>
      <c r="O71" s="590"/>
    </row>
    <row r="72" spans="3:15" x14ac:dyDescent="0.25">
      <c r="C72" s="590"/>
      <c r="D72" s="590"/>
      <c r="E72" s="606"/>
      <c r="F72" s="606"/>
      <c r="G72" s="606"/>
      <c r="H72" s="606"/>
      <c r="I72" s="606"/>
      <c r="J72" s="590"/>
      <c r="K72" s="590"/>
      <c r="L72" s="590"/>
      <c r="M72" s="590"/>
      <c r="N72" s="590"/>
      <c r="O72" s="602"/>
    </row>
    <row r="73" spans="3:15" x14ac:dyDescent="0.25">
      <c r="C73" s="608"/>
      <c r="D73" s="609" t="s">
        <v>471</v>
      </c>
      <c r="E73" s="610"/>
      <c r="F73" s="609" t="s">
        <v>456</v>
      </c>
      <c r="G73" s="610"/>
      <c r="H73" s="609" t="s">
        <v>472</v>
      </c>
      <c r="I73" s="611"/>
      <c r="J73" s="612" t="s">
        <v>473</v>
      </c>
      <c r="K73" s="610"/>
      <c r="L73" s="612" t="s">
        <v>474</v>
      </c>
      <c r="M73" s="613"/>
      <c r="N73" s="663"/>
      <c r="O73" s="615"/>
    </row>
    <row r="74" spans="3:15" x14ac:dyDescent="0.25">
      <c r="C74" s="616"/>
      <c r="D74" s="617" t="s">
        <v>475</v>
      </c>
      <c r="E74" s="618"/>
      <c r="F74" s="619" t="s">
        <v>460</v>
      </c>
      <c r="G74" s="620"/>
      <c r="H74" s="619" t="s">
        <v>476</v>
      </c>
      <c r="I74" s="621"/>
      <c r="J74" s="622" t="s">
        <v>477</v>
      </c>
      <c r="K74" s="620"/>
      <c r="L74" s="623" t="s">
        <v>478</v>
      </c>
      <c r="M74" s="624"/>
      <c r="N74" s="625"/>
      <c r="O74" s="626"/>
    </row>
    <row r="75" spans="3:15" x14ac:dyDescent="0.25">
      <c r="C75" s="627" t="s">
        <v>31</v>
      </c>
      <c r="D75" s="664"/>
      <c r="E75" s="665"/>
      <c r="F75" s="628"/>
      <c r="G75" s="629"/>
      <c r="H75" s="628"/>
      <c r="I75" s="629"/>
      <c r="J75" s="619" t="s">
        <v>479</v>
      </c>
      <c r="K75" s="620"/>
      <c r="L75" s="628" t="s">
        <v>419</v>
      </c>
      <c r="M75" s="629" t="s">
        <v>437</v>
      </c>
      <c r="N75" s="630" t="s">
        <v>420</v>
      </c>
      <c r="O75" s="631" t="s">
        <v>421</v>
      </c>
    </row>
    <row r="76" spans="3:15" x14ac:dyDescent="0.25">
      <c r="C76" s="632"/>
      <c r="D76" s="633" t="s">
        <v>422</v>
      </c>
      <c r="E76" s="634" t="s">
        <v>100</v>
      </c>
      <c r="F76" s="633" t="s">
        <v>422</v>
      </c>
      <c r="G76" s="634" t="s">
        <v>100</v>
      </c>
      <c r="H76" s="633" t="s">
        <v>422</v>
      </c>
      <c r="I76" s="634" t="s">
        <v>100</v>
      </c>
      <c r="J76" s="633" t="s">
        <v>422</v>
      </c>
      <c r="K76" s="634" t="s">
        <v>100</v>
      </c>
      <c r="L76" s="633" t="s">
        <v>423</v>
      </c>
      <c r="M76" s="634" t="s">
        <v>438</v>
      </c>
      <c r="N76" s="635" t="s">
        <v>424</v>
      </c>
      <c r="O76" s="636" t="s">
        <v>425</v>
      </c>
    </row>
    <row r="77" spans="3:15" x14ac:dyDescent="0.25">
      <c r="C77" s="395">
        <v>2020</v>
      </c>
      <c r="D77" s="396">
        <v>15.279689794419973</v>
      </c>
      <c r="E77" s="397">
        <v>16.829415831316972</v>
      </c>
      <c r="F77" s="637">
        <v>10.014285714285714</v>
      </c>
      <c r="G77" s="638">
        <v>35.142857142857146</v>
      </c>
      <c r="H77" s="639">
        <v>0</v>
      </c>
      <c r="I77" s="640">
        <v>0</v>
      </c>
      <c r="J77" s="641">
        <v>2.0639337563053851E-2</v>
      </c>
      <c r="K77" s="642">
        <v>5.6365264540511129E-3</v>
      </c>
      <c r="L77" s="643">
        <v>2008.1275061589961</v>
      </c>
      <c r="M77" s="644">
        <v>101.83608186993858</v>
      </c>
      <c r="N77" s="645">
        <v>74270.718298618507</v>
      </c>
      <c r="O77" s="407">
        <v>74270.718298618507</v>
      </c>
    </row>
    <row r="78" spans="3:15" x14ac:dyDescent="0.25">
      <c r="C78" s="410">
        <v>2054</v>
      </c>
      <c r="D78" s="411">
        <v>147.1732745961821</v>
      </c>
      <c r="E78" s="646">
        <v>186.22537158658835</v>
      </c>
      <c r="F78" s="637">
        <v>9.998025666337611</v>
      </c>
      <c r="G78" s="647">
        <v>34.998496240601504</v>
      </c>
      <c r="H78" s="641">
        <v>1.9747235387043705E-5</v>
      </c>
      <c r="I78" s="642">
        <v>1.2276114364287438E-6</v>
      </c>
      <c r="J78" s="641">
        <v>2.0743576554504178E-2</v>
      </c>
      <c r="K78" s="642">
        <v>5.6427299153793652E-3</v>
      </c>
      <c r="L78" s="648">
        <v>19468.583589719605</v>
      </c>
      <c r="M78" s="649">
        <v>2582.9724068369842</v>
      </c>
      <c r="N78" s="645">
        <v>776214.77107879193</v>
      </c>
      <c r="O78" s="407">
        <v>77791.735702209495</v>
      </c>
    </row>
    <row r="79" spans="3:15" x14ac:dyDescent="0.25">
      <c r="C79" s="650"/>
      <c r="D79" s="423"/>
      <c r="E79" s="423"/>
      <c r="F79" s="423"/>
      <c r="G79" s="423"/>
      <c r="H79" s="573"/>
      <c r="I79" s="573"/>
      <c r="J79" s="666"/>
      <c r="K79" s="667"/>
      <c r="L79" s="651"/>
      <c r="M79" s="651"/>
      <c r="N79" s="652"/>
      <c r="O79" s="429"/>
    </row>
    <row r="80" spans="3:15" x14ac:dyDescent="0.25">
      <c r="C80" s="432">
        <v>2025</v>
      </c>
      <c r="D80" s="433">
        <v>34.675805206444238</v>
      </c>
      <c r="E80" s="434">
        <v>41.740585795327206</v>
      </c>
      <c r="F80" s="653">
        <v>10.011894530763934</v>
      </c>
      <c r="G80" s="654">
        <v>35.121627598407791</v>
      </c>
      <c r="H80" s="641">
        <v>0</v>
      </c>
      <c r="I80" s="642">
        <v>0</v>
      </c>
      <c r="J80" s="641">
        <v>2.0639337563053851E-2</v>
      </c>
      <c r="K80" s="642">
        <v>5.6365264540511129E-3</v>
      </c>
      <c r="L80" s="655">
        <v>4557.2547067481446</v>
      </c>
      <c r="M80" s="644">
        <v>464.24307091283413</v>
      </c>
      <c r="N80" s="645">
        <v>176756.72177366645</v>
      </c>
      <c r="O80" s="407">
        <v>126025.09975546418</v>
      </c>
    </row>
    <row r="81" spans="3:15" x14ac:dyDescent="0.25">
      <c r="C81" s="432">
        <v>2026</v>
      </c>
      <c r="D81" s="441">
        <v>38.555028288848916</v>
      </c>
      <c r="E81" s="442">
        <v>46.722819788130437</v>
      </c>
      <c r="F81" s="656">
        <v>10.011416294059579</v>
      </c>
      <c r="G81" s="657">
        <v>35.117381689517913</v>
      </c>
      <c r="H81" s="641">
        <v>0</v>
      </c>
      <c r="I81" s="642">
        <v>0</v>
      </c>
      <c r="J81" s="641">
        <v>2.0639337563053851E-2</v>
      </c>
      <c r="K81" s="642">
        <v>5.6365264540511129E-3</v>
      </c>
      <c r="L81" s="658">
        <v>5067.0801468659502</v>
      </c>
      <c r="M81" s="659">
        <v>536.72446872150249</v>
      </c>
      <c r="N81" s="645">
        <v>197253.92246867836</v>
      </c>
      <c r="O81" s="407">
        <v>131438.61735430907</v>
      </c>
    </row>
    <row r="82" spans="3:15" x14ac:dyDescent="0.25">
      <c r="C82" s="432">
        <v>2027</v>
      </c>
      <c r="D82" s="441">
        <v>42.434251371253595</v>
      </c>
      <c r="E82" s="442">
        <v>51.705053780931848</v>
      </c>
      <c r="F82" s="656">
        <v>10.010938057355222</v>
      </c>
      <c r="G82" s="657">
        <v>35.113135780628042</v>
      </c>
      <c r="H82" s="641">
        <v>0</v>
      </c>
      <c r="I82" s="642">
        <v>0</v>
      </c>
      <c r="J82" s="641">
        <v>2.0639337563053851E-2</v>
      </c>
      <c r="K82" s="642">
        <v>5.6365264540511129E-3</v>
      </c>
      <c r="L82" s="658">
        <v>5576.9055869837575</v>
      </c>
      <c r="M82" s="659">
        <v>609.20586653005137</v>
      </c>
      <c r="N82" s="645">
        <v>217751.12316368608</v>
      </c>
      <c r="O82" s="407">
        <v>135604.45574526532</v>
      </c>
    </row>
    <row r="83" spans="3:15" x14ac:dyDescent="0.25">
      <c r="C83" s="432">
        <v>2028</v>
      </c>
      <c r="D83" s="441">
        <v>46.313474453658273</v>
      </c>
      <c r="E83" s="442">
        <v>56.68728777373326</v>
      </c>
      <c r="F83" s="656">
        <v>10.010459820650865</v>
      </c>
      <c r="G83" s="657">
        <v>35.108889871738171</v>
      </c>
      <c r="H83" s="641">
        <v>0</v>
      </c>
      <c r="I83" s="642">
        <v>0</v>
      </c>
      <c r="J83" s="641">
        <v>2.0639337563053851E-2</v>
      </c>
      <c r="K83" s="642">
        <v>5.6365264540511129E-3</v>
      </c>
      <c r="L83" s="658">
        <v>6086.731027101564</v>
      </c>
      <c r="M83" s="659">
        <v>681.68726433860013</v>
      </c>
      <c r="N83" s="645">
        <v>238248.3238586938</v>
      </c>
      <c r="O83" s="407">
        <v>138662.69363311966</v>
      </c>
    </row>
    <row r="84" spans="3:15" x14ac:dyDescent="0.25">
      <c r="C84" s="432">
        <v>2029</v>
      </c>
      <c r="D84" s="441">
        <v>50.192697536062951</v>
      </c>
      <c r="E84" s="442">
        <v>61.669521766536491</v>
      </c>
      <c r="F84" s="656">
        <v>10.00998158394651</v>
      </c>
      <c r="G84" s="657">
        <v>35.1046439628483</v>
      </c>
      <c r="H84" s="641">
        <v>0</v>
      </c>
      <c r="I84" s="642">
        <v>0</v>
      </c>
      <c r="J84" s="641">
        <v>2.0639337563053851E-2</v>
      </c>
      <c r="K84" s="642">
        <v>5.6365264540511129E-3</v>
      </c>
      <c r="L84" s="658">
        <v>6596.5564672193705</v>
      </c>
      <c r="M84" s="659">
        <v>754.16866214726861</v>
      </c>
      <c r="N84" s="645">
        <v>258745.52455370573</v>
      </c>
      <c r="O84" s="407">
        <v>140740.42154739573</v>
      </c>
    </row>
    <row r="85" spans="3:15" x14ac:dyDescent="0.25">
      <c r="C85" s="432">
        <v>2030</v>
      </c>
      <c r="D85" s="441">
        <v>54.07192061846763</v>
      </c>
      <c r="E85" s="442">
        <v>66.651755759337902</v>
      </c>
      <c r="F85" s="656">
        <v>10.009503347242154</v>
      </c>
      <c r="G85" s="657">
        <v>35.100398053958429</v>
      </c>
      <c r="H85" s="641">
        <v>0</v>
      </c>
      <c r="I85" s="642">
        <v>0</v>
      </c>
      <c r="J85" s="641">
        <v>2.0639337563053851E-2</v>
      </c>
      <c r="K85" s="642">
        <v>5.6365264540511129E-3</v>
      </c>
      <c r="L85" s="658">
        <v>7106.3819073371769</v>
      </c>
      <c r="M85" s="659">
        <v>826.65005995581748</v>
      </c>
      <c r="N85" s="645">
        <v>279242.72524871345</v>
      </c>
      <c r="O85" s="407">
        <v>141952.84171395298</v>
      </c>
    </row>
    <row r="86" spans="3:15" x14ac:dyDescent="0.25">
      <c r="C86" s="432">
        <v>2031</v>
      </c>
      <c r="D86" s="441">
        <v>57.951143700872308</v>
      </c>
      <c r="E86" s="442">
        <v>71.633989752141133</v>
      </c>
      <c r="F86" s="656">
        <v>10.009025110537799</v>
      </c>
      <c r="G86" s="657">
        <v>35.096152145068558</v>
      </c>
      <c r="H86" s="641">
        <v>0</v>
      </c>
      <c r="I86" s="642">
        <v>0</v>
      </c>
      <c r="J86" s="641">
        <v>2.0639337563053851E-2</v>
      </c>
      <c r="K86" s="642">
        <v>5.6365264540511129E-3</v>
      </c>
      <c r="L86" s="658">
        <v>7616.2073474549834</v>
      </c>
      <c r="M86" s="659">
        <v>899.13145776448573</v>
      </c>
      <c r="N86" s="645">
        <v>299739.92594372533</v>
      </c>
      <c r="O86" s="407">
        <v>142404.2796056126</v>
      </c>
    </row>
    <row r="87" spans="3:15" x14ac:dyDescent="0.25">
      <c r="C87" s="432">
        <v>2032</v>
      </c>
      <c r="D87" s="441">
        <v>61.830366783276986</v>
      </c>
      <c r="E87" s="442">
        <v>76.616223744942545</v>
      </c>
      <c r="F87" s="656">
        <v>10.008546873833442</v>
      </c>
      <c r="G87" s="657">
        <v>35.091906236178687</v>
      </c>
      <c r="H87" s="641">
        <v>0</v>
      </c>
      <c r="I87" s="642">
        <v>0</v>
      </c>
      <c r="J87" s="641">
        <v>2.0639337563053851E-2</v>
      </c>
      <c r="K87" s="642">
        <v>5.6365264540511129E-3</v>
      </c>
      <c r="L87" s="658">
        <v>8126.0327875727899</v>
      </c>
      <c r="M87" s="659">
        <v>971.61285557303472</v>
      </c>
      <c r="N87" s="645">
        <v>320237.12663873303</v>
      </c>
      <c r="O87" s="407">
        <v>142189.11402048732</v>
      </c>
    </row>
    <row r="88" spans="3:15" x14ac:dyDescent="0.25">
      <c r="C88" s="432">
        <v>2033</v>
      </c>
      <c r="D88" s="441">
        <v>65.709589865682574</v>
      </c>
      <c r="E88" s="442">
        <v>81.598457737743956</v>
      </c>
      <c r="F88" s="656">
        <v>10.008068637129087</v>
      </c>
      <c r="G88" s="657">
        <v>35.087660327288816</v>
      </c>
      <c r="H88" s="641">
        <v>0</v>
      </c>
      <c r="I88" s="642">
        <v>0</v>
      </c>
      <c r="J88" s="641">
        <v>2.0639337563053851E-2</v>
      </c>
      <c r="K88" s="642">
        <v>5.6365264540511129E-3</v>
      </c>
      <c r="L88" s="658">
        <v>8635.8582276907164</v>
      </c>
      <c r="M88" s="659">
        <v>1044.0942533815237</v>
      </c>
      <c r="N88" s="645">
        <v>340734.32733374287</v>
      </c>
      <c r="O88" s="407">
        <v>141392.63201871887</v>
      </c>
    </row>
    <row r="89" spans="3:15" x14ac:dyDescent="0.25">
      <c r="C89" s="432">
        <v>2034</v>
      </c>
      <c r="D89" s="441">
        <v>69.588812948087252</v>
      </c>
      <c r="E89" s="442">
        <v>86.580691730547187</v>
      </c>
      <c r="F89" s="656">
        <v>10.00759040042473</v>
      </c>
      <c r="G89" s="657">
        <v>35.083414418398945</v>
      </c>
      <c r="H89" s="641">
        <v>0</v>
      </c>
      <c r="I89" s="642">
        <v>0</v>
      </c>
      <c r="J89" s="641">
        <v>2.0639337563053851E-2</v>
      </c>
      <c r="K89" s="642">
        <v>5.6365264540511129E-3</v>
      </c>
      <c r="L89" s="658">
        <v>9145.6836678085238</v>
      </c>
      <c r="M89" s="659">
        <v>1116.5756511901923</v>
      </c>
      <c r="N89" s="645">
        <v>361231.52802875487</v>
      </c>
      <c r="O89" s="407">
        <v>140091.81456858417</v>
      </c>
    </row>
    <row r="90" spans="3:15" x14ac:dyDescent="0.25">
      <c r="C90" s="432">
        <v>2035</v>
      </c>
      <c r="D90" s="441">
        <v>73.46803603049193</v>
      </c>
      <c r="E90" s="442">
        <v>91.562925723348599</v>
      </c>
      <c r="F90" s="656">
        <v>10.007112163720375</v>
      </c>
      <c r="G90" s="657">
        <v>35.079168509509074</v>
      </c>
      <c r="H90" s="641">
        <v>0</v>
      </c>
      <c r="I90" s="642">
        <v>0</v>
      </c>
      <c r="J90" s="641">
        <v>2.0639337563053851E-2</v>
      </c>
      <c r="K90" s="642">
        <v>5.6365264540511129E-3</v>
      </c>
      <c r="L90" s="658">
        <v>9655.5091079263293</v>
      </c>
      <c r="M90" s="659">
        <v>1189.057048998741</v>
      </c>
      <c r="N90" s="645">
        <v>381728.7287237625</v>
      </c>
      <c r="O90" s="407">
        <v>138356.05830906582</v>
      </c>
    </row>
    <row r="91" spans="3:15" x14ac:dyDescent="0.25">
      <c r="C91" s="432">
        <v>2036</v>
      </c>
      <c r="D91" s="441">
        <v>77.347259112896609</v>
      </c>
      <c r="E91" s="442">
        <v>96.54515971615001</v>
      </c>
      <c r="F91" s="656">
        <v>10.006633927016019</v>
      </c>
      <c r="G91" s="657">
        <v>35.074922600619203</v>
      </c>
      <c r="H91" s="641">
        <v>0</v>
      </c>
      <c r="I91" s="642">
        <v>0</v>
      </c>
      <c r="J91" s="641">
        <v>2.0639337563053851E-2</v>
      </c>
      <c r="K91" s="642">
        <v>5.6365264540511129E-3</v>
      </c>
      <c r="L91" s="658">
        <v>10165.334548044137</v>
      </c>
      <c r="M91" s="659">
        <v>1261.5384468072898</v>
      </c>
      <c r="N91" s="645">
        <v>402225.92941877025</v>
      </c>
      <c r="O91" s="407">
        <v>136247.83842502991</v>
      </c>
    </row>
    <row r="92" spans="3:15" x14ac:dyDescent="0.25">
      <c r="C92" s="432">
        <v>2037</v>
      </c>
      <c r="D92" s="441">
        <v>81.226482195301287</v>
      </c>
      <c r="E92" s="442">
        <v>101.52739370895324</v>
      </c>
      <c r="F92" s="656">
        <v>10.006155690311662</v>
      </c>
      <c r="G92" s="657">
        <v>35.070676691729325</v>
      </c>
      <c r="H92" s="641">
        <v>0</v>
      </c>
      <c r="I92" s="642">
        <v>0</v>
      </c>
      <c r="J92" s="641">
        <v>2.0639337563053851E-2</v>
      </c>
      <c r="K92" s="642">
        <v>5.6365264540511129E-3</v>
      </c>
      <c r="L92" s="658">
        <v>10675.159988161942</v>
      </c>
      <c r="M92" s="659">
        <v>1334.0198446159584</v>
      </c>
      <c r="N92" s="645">
        <v>422723.13011378213</v>
      </c>
      <c r="O92" s="407">
        <v>133823.31725085131</v>
      </c>
    </row>
    <row r="93" spans="3:15" x14ac:dyDescent="0.25">
      <c r="C93" s="432">
        <v>2038</v>
      </c>
      <c r="D93" s="441">
        <v>85.105705277705965</v>
      </c>
      <c r="E93" s="442">
        <v>106.50962770175465</v>
      </c>
      <c r="F93" s="656">
        <v>10.005677453607307</v>
      </c>
      <c r="G93" s="657">
        <v>35.066430782839454</v>
      </c>
      <c r="H93" s="641">
        <v>0</v>
      </c>
      <c r="I93" s="642">
        <v>0</v>
      </c>
      <c r="J93" s="641">
        <v>2.0639337563053851E-2</v>
      </c>
      <c r="K93" s="642">
        <v>5.6365264540511129E-3</v>
      </c>
      <c r="L93" s="658">
        <v>11184.98542827975</v>
      </c>
      <c r="M93" s="659">
        <v>1406.5012424245072</v>
      </c>
      <c r="N93" s="645">
        <v>443220.33080878988</v>
      </c>
      <c r="O93" s="407">
        <v>131132.90286644292</v>
      </c>
    </row>
    <row r="94" spans="3:15" x14ac:dyDescent="0.25">
      <c r="C94" s="432">
        <v>2039</v>
      </c>
      <c r="D94" s="441">
        <v>88.984928360110644</v>
      </c>
      <c r="E94" s="442">
        <v>111.49186169455788</v>
      </c>
      <c r="F94" s="656">
        <v>10.00519921690295</v>
      </c>
      <c r="G94" s="657">
        <v>35.062184873949583</v>
      </c>
      <c r="H94" s="641">
        <v>0</v>
      </c>
      <c r="I94" s="642">
        <v>0</v>
      </c>
      <c r="J94" s="641">
        <v>2.0639337563053851E-2</v>
      </c>
      <c r="K94" s="642">
        <v>5.6365264540511129E-3</v>
      </c>
      <c r="L94" s="658">
        <v>11694.810868397557</v>
      </c>
      <c r="M94" s="659">
        <v>1478.9826402331755</v>
      </c>
      <c r="N94" s="645">
        <v>463717.53150380187</v>
      </c>
      <c r="O94" s="407">
        <v>128221.7616240177</v>
      </c>
    </row>
    <row r="95" spans="3:15" x14ac:dyDescent="0.25">
      <c r="C95" s="432">
        <v>2040</v>
      </c>
      <c r="D95" s="441">
        <v>92.864151442515322</v>
      </c>
      <c r="E95" s="442">
        <v>116.47409568735929</v>
      </c>
      <c r="F95" s="656">
        <v>10.004720980198595</v>
      </c>
      <c r="G95" s="657">
        <v>35.057938965059712</v>
      </c>
      <c r="H95" s="641">
        <v>0</v>
      </c>
      <c r="I95" s="642">
        <v>0</v>
      </c>
      <c r="J95" s="641">
        <v>2.0639337563053851E-2</v>
      </c>
      <c r="K95" s="642">
        <v>5.6365264540511129E-3</v>
      </c>
      <c r="L95" s="658">
        <v>12204.636308515363</v>
      </c>
      <c r="M95" s="659">
        <v>1551.4640380417243</v>
      </c>
      <c r="N95" s="645">
        <v>484214.73219880951</v>
      </c>
      <c r="O95" s="407">
        <v>125130.28824260083</v>
      </c>
    </row>
    <row r="96" spans="3:15" x14ac:dyDescent="0.25">
      <c r="C96" s="432">
        <v>2041</v>
      </c>
      <c r="D96" s="441">
        <v>96.74337452492</v>
      </c>
      <c r="E96" s="442">
        <v>121.45632968016071</v>
      </c>
      <c r="F96" s="656">
        <v>10.004242743494238</v>
      </c>
      <c r="G96" s="657">
        <v>35.053693056169841</v>
      </c>
      <c r="H96" s="641">
        <v>0</v>
      </c>
      <c r="I96" s="642">
        <v>0</v>
      </c>
      <c r="J96" s="641">
        <v>2.0639337563053851E-2</v>
      </c>
      <c r="K96" s="642">
        <v>5.6365264540511129E-3</v>
      </c>
      <c r="L96" s="658">
        <v>12714.461748633168</v>
      </c>
      <c r="M96" s="659">
        <v>1623.945435850273</v>
      </c>
      <c r="N96" s="645">
        <v>504711.9328938172</v>
      </c>
      <c r="O96" s="407">
        <v>121894.53682867331</v>
      </c>
    </row>
    <row r="97" spans="3:15" x14ac:dyDescent="0.25">
      <c r="C97" s="432">
        <v>2042</v>
      </c>
      <c r="D97" s="441">
        <v>100.62259760732468</v>
      </c>
      <c r="E97" s="442">
        <v>126.43856367296394</v>
      </c>
      <c r="F97" s="656">
        <v>10.003764506789883</v>
      </c>
      <c r="G97" s="657">
        <v>35.04944714727997</v>
      </c>
      <c r="H97" s="641">
        <v>0</v>
      </c>
      <c r="I97" s="642">
        <v>0</v>
      </c>
      <c r="J97" s="641">
        <v>2.0639337563053851E-2</v>
      </c>
      <c r="K97" s="642">
        <v>5.6365264540511129E-3</v>
      </c>
      <c r="L97" s="658">
        <v>13224.287188750975</v>
      </c>
      <c r="M97" s="659">
        <v>1696.4268336589416</v>
      </c>
      <c r="N97" s="645">
        <v>525209.13358882908</v>
      </c>
      <c r="O97" s="407">
        <v>118546.61592345285</v>
      </c>
    </row>
    <row r="98" spans="3:15" x14ac:dyDescent="0.25">
      <c r="C98" s="432">
        <v>2043</v>
      </c>
      <c r="D98" s="441">
        <v>104.50182068973027</v>
      </c>
      <c r="E98" s="442">
        <v>131.42079766576535</v>
      </c>
      <c r="F98" s="656">
        <v>10.003286270085527</v>
      </c>
      <c r="G98" s="657">
        <v>35.045201238390092</v>
      </c>
      <c r="H98" s="641">
        <v>0</v>
      </c>
      <c r="I98" s="642">
        <v>0</v>
      </c>
      <c r="J98" s="641">
        <v>2.0639337563053851E-2</v>
      </c>
      <c r="K98" s="642">
        <v>5.6365264540511129E-3</v>
      </c>
      <c r="L98" s="658">
        <v>13734.112628868901</v>
      </c>
      <c r="M98" s="659">
        <v>1768.9082314674306</v>
      </c>
      <c r="N98" s="645">
        <v>545706.33428383886</v>
      </c>
      <c r="O98" s="407">
        <v>115115.05043891628</v>
      </c>
    </row>
    <row r="99" spans="3:15" x14ac:dyDescent="0.25">
      <c r="C99" s="432">
        <v>2044</v>
      </c>
      <c r="D99" s="441">
        <v>108.38104377213494</v>
      </c>
      <c r="E99" s="442">
        <v>136.40303165856676</v>
      </c>
      <c r="F99" s="656">
        <v>10.002808033381172</v>
      </c>
      <c r="G99" s="657">
        <v>35.040955329500221</v>
      </c>
      <c r="H99" s="641">
        <v>0</v>
      </c>
      <c r="I99" s="642">
        <v>0</v>
      </c>
      <c r="J99" s="641">
        <v>2.0639337563053851E-2</v>
      </c>
      <c r="K99" s="642">
        <v>5.6365264540511129E-3</v>
      </c>
      <c r="L99" s="658">
        <v>14243.93806898671</v>
      </c>
      <c r="M99" s="659">
        <v>1841.3896292759796</v>
      </c>
      <c r="N99" s="645">
        <v>566203.53497884679</v>
      </c>
      <c r="O99" s="407">
        <v>111625.11312413974</v>
      </c>
    </row>
    <row r="100" spans="3:15" x14ac:dyDescent="0.25">
      <c r="C100" s="432">
        <v>2045</v>
      </c>
      <c r="D100" s="441">
        <v>112.26026685453962</v>
      </c>
      <c r="E100" s="442">
        <v>141.38526565136999</v>
      </c>
      <c r="F100" s="656">
        <v>10.002329796676815</v>
      </c>
      <c r="G100" s="657">
        <v>35.03670942061035</v>
      </c>
      <c r="H100" s="641">
        <v>0</v>
      </c>
      <c r="I100" s="642">
        <v>0</v>
      </c>
      <c r="J100" s="641">
        <v>2.0639337563053851E-2</v>
      </c>
      <c r="K100" s="642">
        <v>5.6365264540511129E-3</v>
      </c>
      <c r="L100" s="658">
        <v>14753.763509104516</v>
      </c>
      <c r="M100" s="659">
        <v>1913.8710270846479</v>
      </c>
      <c r="N100" s="645">
        <v>586700.73567385867</v>
      </c>
      <c r="O100" s="407">
        <v>108099.12799960135</v>
      </c>
    </row>
    <row r="101" spans="3:15" x14ac:dyDescent="0.25">
      <c r="C101" s="432">
        <v>2046</v>
      </c>
      <c r="D101" s="441">
        <v>116.1394899369443</v>
      </c>
      <c r="E101" s="442">
        <v>146.3674996441714</v>
      </c>
      <c r="F101" s="656">
        <v>10.001851559972458</v>
      </c>
      <c r="G101" s="657">
        <v>35.032463511720479</v>
      </c>
      <c r="H101" s="641">
        <v>0</v>
      </c>
      <c r="I101" s="642">
        <v>0</v>
      </c>
      <c r="J101" s="641">
        <v>2.0639337563053851E-2</v>
      </c>
      <c r="K101" s="642">
        <v>5.6365264540511129E-3</v>
      </c>
      <c r="L101" s="658">
        <v>15263.588949222321</v>
      </c>
      <c r="M101" s="659">
        <v>1986.3524248931967</v>
      </c>
      <c r="N101" s="645">
        <v>607197.93636886636</v>
      </c>
      <c r="O101" s="407">
        <v>104556.74800856524</v>
      </c>
    </row>
    <row r="102" spans="3:15" x14ac:dyDescent="0.25">
      <c r="C102" s="432">
        <v>2047</v>
      </c>
      <c r="D102" s="441">
        <v>120.01871301934898</v>
      </c>
      <c r="E102" s="442">
        <v>151.34973363697463</v>
      </c>
      <c r="F102" s="656">
        <v>10.001373323268103</v>
      </c>
      <c r="G102" s="657">
        <v>35.028217602830608</v>
      </c>
      <c r="H102" s="641">
        <v>0</v>
      </c>
      <c r="I102" s="642">
        <v>0</v>
      </c>
      <c r="J102" s="641">
        <v>2.0639337563053851E-2</v>
      </c>
      <c r="K102" s="642">
        <v>5.6365264540511129E-3</v>
      </c>
      <c r="L102" s="658">
        <v>15773.414389340127</v>
      </c>
      <c r="M102" s="659">
        <v>2058.8338227018648</v>
      </c>
      <c r="N102" s="645">
        <v>627695.13706387812</v>
      </c>
      <c r="O102" s="407">
        <v>101015.20896037118</v>
      </c>
    </row>
    <row r="103" spans="3:15" x14ac:dyDescent="0.25">
      <c r="C103" s="432">
        <v>2048</v>
      </c>
      <c r="D103" s="441">
        <v>123.89793610175366</v>
      </c>
      <c r="E103" s="442">
        <v>156.33196762977605</v>
      </c>
      <c r="F103" s="656">
        <v>10.000895086563746</v>
      </c>
      <c r="G103" s="657">
        <v>35.023971693940737</v>
      </c>
      <c r="H103" s="641">
        <v>0</v>
      </c>
      <c r="I103" s="642">
        <v>0</v>
      </c>
      <c r="J103" s="641">
        <v>2.0639337563053851E-2</v>
      </c>
      <c r="K103" s="642">
        <v>5.6365264540511129E-3</v>
      </c>
      <c r="L103" s="658">
        <v>16283.239829457936</v>
      </c>
      <c r="M103" s="659">
        <v>2131.3152205104138</v>
      </c>
      <c r="N103" s="645">
        <v>648192.33775888593</v>
      </c>
      <c r="O103" s="407">
        <v>97489.56167929816</v>
      </c>
    </row>
    <row r="104" spans="3:15" x14ac:dyDescent="0.25">
      <c r="C104" s="432">
        <v>2049</v>
      </c>
      <c r="D104" s="441">
        <v>127.77715918415834</v>
      </c>
      <c r="E104" s="442">
        <v>161.31420162257746</v>
      </c>
      <c r="F104" s="656">
        <v>10.000416849859391</v>
      </c>
      <c r="G104" s="657">
        <v>35.019725785050866</v>
      </c>
      <c r="H104" s="641">
        <v>0</v>
      </c>
      <c r="I104" s="642">
        <v>0</v>
      </c>
      <c r="J104" s="641">
        <v>2.0639337563053851E-2</v>
      </c>
      <c r="K104" s="642">
        <v>5.6365264540511129E-3</v>
      </c>
      <c r="L104" s="658">
        <v>16793.065269575742</v>
      </c>
      <c r="M104" s="659">
        <v>2203.7966183189628</v>
      </c>
      <c r="N104" s="645">
        <v>668689.53845389374</v>
      </c>
      <c r="O104" s="407">
        <v>93992.884123789729</v>
      </c>
    </row>
    <row r="105" spans="3:15" x14ac:dyDescent="0.25">
      <c r="C105" s="432">
        <v>2050</v>
      </c>
      <c r="D105" s="441">
        <v>131.65638226656301</v>
      </c>
      <c r="E105" s="442">
        <v>166.29643561538069</v>
      </c>
      <c r="F105" s="656">
        <v>9.9999386131550345</v>
      </c>
      <c r="G105" s="657">
        <v>35.015479876160995</v>
      </c>
      <c r="H105" s="641">
        <v>6.1387221801656455E-7</v>
      </c>
      <c r="I105" s="642">
        <v>0</v>
      </c>
      <c r="J105" s="641">
        <v>2.0642584145338969E-2</v>
      </c>
      <c r="K105" s="642">
        <v>5.6365264540511129E-3</v>
      </c>
      <c r="L105" s="658">
        <v>17306.635025212239</v>
      </c>
      <c r="M105" s="659">
        <v>2276.7705987396143</v>
      </c>
      <c r="N105" s="645">
        <v>689335.87796310533</v>
      </c>
      <c r="O105" s="407">
        <v>90556.067039241287</v>
      </c>
    </row>
    <row r="106" spans="3:15" x14ac:dyDescent="0.25">
      <c r="C106" s="432">
        <v>2051</v>
      </c>
      <c r="D106" s="441">
        <v>135.53560534896769</v>
      </c>
      <c r="E106" s="442">
        <v>171.2786696081821</v>
      </c>
      <c r="F106" s="656">
        <v>9.9994603764506795</v>
      </c>
      <c r="G106" s="657">
        <v>35.011233967271124</v>
      </c>
      <c r="H106" s="641">
        <v>5.3965267024919106E-6</v>
      </c>
      <c r="I106" s="642">
        <v>0</v>
      </c>
      <c r="J106" s="641">
        <v>2.0667864566832585E-2</v>
      </c>
      <c r="K106" s="642">
        <v>5.6365264540511129E-3</v>
      </c>
      <c r="L106" s="658">
        <v>17846.586030410617</v>
      </c>
      <c r="M106" s="659">
        <v>2353.2254482140156</v>
      </c>
      <c r="N106" s="645">
        <v>711033.36404758715</v>
      </c>
      <c r="O106" s="407">
        <v>87295.703958562124</v>
      </c>
    </row>
    <row r="107" spans="3:15" x14ac:dyDescent="0.25">
      <c r="C107" s="432">
        <v>2052</v>
      </c>
      <c r="D107" s="441">
        <v>139.41482843137237</v>
      </c>
      <c r="E107" s="442">
        <v>176.26090360098533</v>
      </c>
      <c r="F107" s="656">
        <v>9.9989821397463228</v>
      </c>
      <c r="G107" s="657">
        <v>35.006988058381253</v>
      </c>
      <c r="H107" s="641">
        <v>1.0179638681731551E-5</v>
      </c>
      <c r="I107" s="642">
        <v>0</v>
      </c>
      <c r="J107" s="641">
        <v>2.0693123396370271E-2</v>
      </c>
      <c r="K107" s="642">
        <v>5.6365264540511129E-3</v>
      </c>
      <c r="L107" s="658">
        <v>18388.228824190064</v>
      </c>
      <c r="M107" s="659">
        <v>2429.921081980423</v>
      </c>
      <c r="N107" s="645">
        <v>732798.87669720128</v>
      </c>
      <c r="O107" s="407">
        <v>84082.16952208319</v>
      </c>
    </row>
    <row r="108" spans="3:15" x14ac:dyDescent="0.25">
      <c r="C108" s="432">
        <v>2053</v>
      </c>
      <c r="D108" s="441">
        <v>143.29405151377705</v>
      </c>
      <c r="E108" s="442">
        <v>181.24313759378674</v>
      </c>
      <c r="F108" s="656">
        <v>9.9985039030419678</v>
      </c>
      <c r="G108" s="657">
        <v>35.002742149491382</v>
      </c>
      <c r="H108" s="641">
        <v>1.4963208221349666E-5</v>
      </c>
      <c r="I108" s="642">
        <v>0</v>
      </c>
      <c r="J108" s="641">
        <v>2.0718360702772838E-2</v>
      </c>
      <c r="K108" s="642">
        <v>5.6365264540511129E-3</v>
      </c>
      <c r="L108" s="658">
        <v>18931.561291725146</v>
      </c>
      <c r="M108" s="659">
        <v>2506.8571985334042</v>
      </c>
      <c r="N108" s="645">
        <v>754632.33085710101</v>
      </c>
      <c r="O108" s="407">
        <v>80922.770724248825</v>
      </c>
    </row>
    <row r="109" spans="3:15" x14ac:dyDescent="0.25">
      <c r="C109" s="432">
        <v>2054</v>
      </c>
      <c r="D109" s="441">
        <v>147.17327459618264</v>
      </c>
      <c r="E109" s="442">
        <v>186.22537158658815</v>
      </c>
      <c r="F109" s="656">
        <v>9.998025666337611</v>
      </c>
      <c r="G109" s="657">
        <v>34.998496240601504</v>
      </c>
      <c r="H109" s="641">
        <v>1.9747235387043705E-5</v>
      </c>
      <c r="I109" s="642">
        <v>1.2276114364287438E-6</v>
      </c>
      <c r="J109" s="641">
        <v>2.0743576554504178E-2</v>
      </c>
      <c r="K109" s="642">
        <v>5.6427299153793652E-3</v>
      </c>
      <c r="L109" s="658">
        <v>19468.583589719681</v>
      </c>
      <c r="M109" s="659">
        <v>2582.9724068369351</v>
      </c>
      <c r="N109" s="645">
        <v>776214.77107879298</v>
      </c>
      <c r="O109" s="407">
        <v>77791.735702209611</v>
      </c>
    </row>
    <row r="110" spans="3:15" x14ac:dyDescent="0.25">
      <c r="C110" s="650"/>
      <c r="D110" s="423"/>
      <c r="E110" s="423"/>
      <c r="F110" s="423"/>
      <c r="G110" s="423"/>
      <c r="H110" s="423"/>
      <c r="I110" s="423"/>
      <c r="J110" s="652"/>
      <c r="K110" s="652"/>
      <c r="L110" s="652"/>
      <c r="M110" s="652"/>
      <c r="N110" s="652"/>
      <c r="O110" s="429"/>
    </row>
    <row r="111" spans="3:15" x14ac:dyDescent="0.25">
      <c r="C111" s="660" t="s">
        <v>33</v>
      </c>
      <c r="D111" s="661"/>
      <c r="E111" s="661"/>
      <c r="F111" s="661"/>
      <c r="G111" s="661"/>
      <c r="H111" s="661"/>
      <c r="I111" s="661"/>
      <c r="J111" s="661"/>
      <c r="K111" s="661"/>
      <c r="L111" s="661"/>
      <c r="M111" s="661"/>
      <c r="N111" s="662">
        <v>14232093.47348832</v>
      </c>
      <c r="O111" s="662">
        <v>3566397.4307140703</v>
      </c>
    </row>
    <row r="113" spans="3:7" ht="18" x14ac:dyDescent="0.25">
      <c r="C113" s="668" t="s">
        <v>483</v>
      </c>
    </row>
    <row r="115" spans="3:7" x14ac:dyDescent="0.25">
      <c r="C115" s="669"/>
      <c r="D115" s="671" t="s">
        <v>484</v>
      </c>
      <c r="E115" s="670" t="s">
        <v>485</v>
      </c>
      <c r="F115" s="672" t="s">
        <v>421</v>
      </c>
      <c r="G115" s="672"/>
    </row>
    <row r="116" spans="3:7" x14ac:dyDescent="0.25">
      <c r="C116" s="616"/>
      <c r="D116" s="796"/>
      <c r="E116" s="796"/>
      <c r="F116" s="631" t="s">
        <v>427</v>
      </c>
      <c r="G116" s="631"/>
    </row>
    <row r="117" spans="3:7" x14ac:dyDescent="0.25">
      <c r="C117" s="627" t="s">
        <v>31</v>
      </c>
      <c r="D117" s="796"/>
      <c r="E117" s="796"/>
      <c r="F117" s="631" t="s">
        <v>329</v>
      </c>
      <c r="G117" s="631" t="s">
        <v>420</v>
      </c>
    </row>
    <row r="118" spans="3:7" x14ac:dyDescent="0.25">
      <c r="C118" s="632"/>
      <c r="D118" s="797"/>
      <c r="E118" s="797"/>
      <c r="F118" s="636" t="s">
        <v>17</v>
      </c>
      <c r="G118" s="636" t="s">
        <v>424</v>
      </c>
    </row>
    <row r="119" spans="3:7" x14ac:dyDescent="0.25">
      <c r="C119" s="432">
        <f>YearOpen</f>
        <v>2025</v>
      </c>
      <c r="D119" s="460">
        <v>119552.16003418899</v>
      </c>
      <c r="E119" s="460">
        <v>126025.09975546418</v>
      </c>
      <c r="F119" s="407">
        <v>258214.85366730863</v>
      </c>
      <c r="G119" s="407">
        <v>184103.62200218887</v>
      </c>
    </row>
    <row r="120" spans="3:7" x14ac:dyDescent="0.25">
      <c r="C120" s="432">
        <f>C119+1</f>
        <v>2026</v>
      </c>
      <c r="D120" s="460">
        <v>124408.17707766671</v>
      </c>
      <c r="E120" s="460">
        <v>131438.61735430907</v>
      </c>
      <c r="F120" s="407">
        <v>265148.59862506244</v>
      </c>
      <c r="G120" s="407">
        <v>176679.70684965601</v>
      </c>
    </row>
    <row r="121" spans="3:7" x14ac:dyDescent="0.25">
      <c r="C121" s="432">
        <f t="shared" ref="C121:C148" si="0">C120+1</f>
        <v>2027</v>
      </c>
      <c r="D121" s="460">
        <v>128117.16212072318</v>
      </c>
      <c r="E121" s="460">
        <v>135604.45574526532</v>
      </c>
      <c r="F121" s="407">
        <v>270070.00383467617</v>
      </c>
      <c r="G121" s="407">
        <v>168186.02517881512</v>
      </c>
    </row>
    <row r="122" spans="3:7" x14ac:dyDescent="0.25">
      <c r="C122" s="432">
        <f t="shared" si="0"/>
        <v>2028</v>
      </c>
      <c r="D122" s="460">
        <v>130808.41109326803</v>
      </c>
      <c r="E122" s="460">
        <v>138662.69363311966</v>
      </c>
      <c r="F122" s="407">
        <v>273212.69069888064</v>
      </c>
      <c r="G122" s="407">
        <v>159012.27346946034</v>
      </c>
    </row>
    <row r="123" spans="3:7" x14ac:dyDescent="0.25">
      <c r="C123" s="432">
        <f t="shared" si="0"/>
        <v>2029</v>
      </c>
      <c r="D123" s="460">
        <v>132599.21182537236</v>
      </c>
      <c r="E123" s="460">
        <v>140740.42154739573</v>
      </c>
      <c r="F123" s="407">
        <v>274788.32584585971</v>
      </c>
      <c r="G123" s="407">
        <v>149466.64249577085</v>
      </c>
    </row>
    <row r="124" spans="3:7" x14ac:dyDescent="0.25">
      <c r="C124" s="432">
        <f t="shared" si="0"/>
        <v>2030</v>
      </c>
      <c r="D124" s="460">
        <v>133595.86183337308</v>
      </c>
      <c r="E124" s="460">
        <v>141952.84171395298</v>
      </c>
      <c r="F124" s="407">
        <v>274988.49385209195</v>
      </c>
      <c r="G124" s="407">
        <v>139790.20619490315</v>
      </c>
    </row>
    <row r="125" spans="3:7" x14ac:dyDescent="0.25">
      <c r="C125" s="432">
        <f t="shared" si="0"/>
        <v>2031</v>
      </c>
      <c r="D125" s="460">
        <v>133894.60433055062</v>
      </c>
      <c r="E125" s="460">
        <v>142404.2796056126</v>
      </c>
      <c r="F125" s="407">
        <v>273986.41889913479</v>
      </c>
      <c r="G125" s="407">
        <v>130168.97392701067</v>
      </c>
    </row>
    <row r="126" spans="3:7" x14ac:dyDescent="0.25">
      <c r="C126" s="432">
        <f t="shared" si="0"/>
        <v>2032</v>
      </c>
      <c r="D126" s="460">
        <v>133582.48880601273</v>
      </c>
      <c r="E126" s="460">
        <v>142189.11402048732</v>
      </c>
      <c r="F126" s="407">
        <v>271938.54711507855</v>
      </c>
      <c r="G126" s="407">
        <v>120743.96709764503</v>
      </c>
    </row>
    <row r="127" spans="3:7" x14ac:dyDescent="0.25">
      <c r="C127" s="432">
        <f t="shared" si="0"/>
        <v>2033</v>
      </c>
      <c r="D127" s="460">
        <v>132738.1620353898</v>
      </c>
      <c r="E127" s="460">
        <v>141392.63201871887</v>
      </c>
      <c r="F127" s="407">
        <v>268986.00046041969</v>
      </c>
      <c r="G127" s="407">
        <v>111619.62717080399</v>
      </c>
    </row>
    <row r="128" spans="3:7" x14ac:dyDescent="0.25">
      <c r="C128" s="432">
        <f t="shared" si="0"/>
        <v>2034</v>
      </c>
      <c r="D128" s="460">
        <v>131432.59494254648</v>
      </c>
      <c r="E128" s="460">
        <v>140091.81456858417</v>
      </c>
      <c r="F128" s="407">
        <v>265255.91219339776</v>
      </c>
      <c r="G128" s="407">
        <v>102870.8160303773</v>
      </c>
    </row>
    <row r="129" spans="3:7" x14ac:dyDescent="0.25">
      <c r="C129" s="432">
        <f t="shared" si="0"/>
        <v>2035</v>
      </c>
      <c r="D129" s="460">
        <v>129729.75032025384</v>
      </c>
      <c r="E129" s="460">
        <v>138356.05830906582</v>
      </c>
      <c r="F129" s="407">
        <v>260862.65318669676</v>
      </c>
      <c r="G129" s="407">
        <v>94548.630320863551</v>
      </c>
    </row>
    <row r="130" spans="3:7" x14ac:dyDescent="0.25">
      <c r="C130" s="432">
        <f t="shared" si="0"/>
        <v>2036</v>
      </c>
      <c r="D130" s="460">
        <v>127687.1960370318</v>
      </c>
      <c r="E130" s="460">
        <v>136247.83842502991</v>
      </c>
      <c r="F130" s="407">
        <v>255908.9576610495</v>
      </c>
      <c r="G130" s="407">
        <v>86685.217845862193</v>
      </c>
    </row>
    <row r="131" spans="3:7" x14ac:dyDescent="0.25">
      <c r="C131" s="432">
        <f t="shared" si="0"/>
        <v>2037</v>
      </c>
      <c r="D131" s="460">
        <v>125356.66800506013</v>
      </c>
      <c r="E131" s="460">
        <v>133823.31725085131</v>
      </c>
      <c r="F131" s="407">
        <v>250486.95624766097</v>
      </c>
      <c r="G131" s="407">
        <v>79297.755493313496</v>
      </c>
    </row>
    <row r="132" spans="3:7" x14ac:dyDescent="0.25">
      <c r="C132" s="432">
        <f t="shared" si="0"/>
        <v>2038</v>
      </c>
      <c r="D132" s="460">
        <v>122784.58685806418</v>
      </c>
      <c r="E132" s="460">
        <v>131132.90286644292</v>
      </c>
      <c r="F132" s="407">
        <v>244679.1236867375</v>
      </c>
      <c r="G132" s="407">
        <v>72391.723776094892</v>
      </c>
    </row>
    <row r="133" spans="3:7" x14ac:dyDescent="0.25">
      <c r="C133" s="432">
        <f t="shared" si="0"/>
        <v>2039</v>
      </c>
      <c r="D133" s="460">
        <v>120012.53198637124</v>
      </c>
      <c r="E133" s="460">
        <v>128221.7616240177</v>
      </c>
      <c r="F133" s="407">
        <v>238559.1479098241</v>
      </c>
      <c r="G133" s="407">
        <v>65963.592313031753</v>
      </c>
    </row>
    <row r="134" spans="3:7" x14ac:dyDescent="0.25">
      <c r="C134" s="432">
        <f t="shared" si="0"/>
        <v>2040</v>
      </c>
      <c r="D134" s="460">
        <v>117077.67629729326</v>
      </c>
      <c r="E134" s="460">
        <v>125130.28824260083</v>
      </c>
      <c r="F134" s="407">
        <v>232192.72673620953</v>
      </c>
      <c r="G134" s="407">
        <v>60003.012903804374</v>
      </c>
    </row>
    <row r="135" spans="3:7" x14ac:dyDescent="0.25">
      <c r="C135" s="432">
        <f t="shared" si="0"/>
        <v>2041</v>
      </c>
      <c r="D135" s="460">
        <v>114013.18481075689</v>
      </c>
      <c r="E135" s="460">
        <v>121894.53682867331</v>
      </c>
      <c r="F135" s="407">
        <v>225638.29793489663</v>
      </c>
      <c r="G135" s="407">
        <v>54494.601821452889</v>
      </c>
    </row>
    <row r="136" spans="3:7" x14ac:dyDescent="0.25">
      <c r="C136" s="432">
        <f t="shared" si="0"/>
        <v>2042</v>
      </c>
      <c r="D136" s="460">
        <v>110848.57996132984</v>
      </c>
      <c r="E136" s="460">
        <v>118546.61592345285</v>
      </c>
      <c r="F136" s="407">
        <v>218947.70796093118</v>
      </c>
      <c r="G136" s="407">
        <v>49419.380172631645</v>
      </c>
    </row>
    <row r="137" spans="3:7" x14ac:dyDescent="0.25">
      <c r="C137" s="432">
        <f t="shared" si="0"/>
        <v>2043</v>
      </c>
      <c r="D137" s="460">
        <v>107610.07625686923</v>
      </c>
      <c r="E137" s="460">
        <v>115115.05043891628</v>
      </c>
      <c r="F137" s="407">
        <v>212166.82426543446</v>
      </c>
      <c r="G137" s="407">
        <v>44755.93032804472</v>
      </c>
    </row>
    <row r="138" spans="3:7" x14ac:dyDescent="0.25">
      <c r="C138" s="432">
        <f t="shared" si="0"/>
        <v>2044</v>
      </c>
      <c r="D138" s="460">
        <v>104320.88673977667</v>
      </c>
      <c r="E138" s="460">
        <v>111625.11312413974</v>
      </c>
      <c r="F138" s="407">
        <v>205336.09570014785</v>
      </c>
      <c r="G138" s="407">
        <v>40481.31722076673</v>
      </c>
    </row>
    <row r="139" spans="3:7" x14ac:dyDescent="0.25">
      <c r="C139" s="432">
        <f t="shared" si="0"/>
        <v>2045</v>
      </c>
      <c r="D139" s="460">
        <v>101001.50350795075</v>
      </c>
      <c r="E139" s="460">
        <v>108099.12799960135</v>
      </c>
      <c r="F139" s="407">
        <v>198491.06518724893</v>
      </c>
      <c r="G139" s="407">
        <v>36571.815506263854</v>
      </c>
    </row>
    <row r="140" spans="3:7" x14ac:dyDescent="0.25">
      <c r="C140" s="432">
        <f t="shared" si="0"/>
        <v>2046</v>
      </c>
      <c r="D140" s="460">
        <v>97669.954377882314</v>
      </c>
      <c r="E140" s="460">
        <v>104556.74800856524</v>
      </c>
      <c r="F140" s="407">
        <v>191662.83850167203</v>
      </c>
      <c r="G140" s="407">
        <v>33003.476967767201</v>
      </c>
    </row>
    <row r="141" spans="3:7" x14ac:dyDescent="0.25">
      <c r="C141" s="432">
        <f t="shared" si="0"/>
        <v>2047</v>
      </c>
      <c r="D141" s="460">
        <v>94342.037610898624</v>
      </c>
      <c r="E141" s="460">
        <v>101015.20896037118</v>
      </c>
      <c r="F141" s="407">
        <v>184898.10465013993</v>
      </c>
      <c r="G141" s="407">
        <v>29755.719894496688</v>
      </c>
    </row>
    <row r="142" spans="3:7" x14ac:dyDescent="0.25">
      <c r="C142" s="432">
        <f t="shared" si="0"/>
        <v>2048</v>
      </c>
      <c r="D142" s="460">
        <v>91031.536474312481</v>
      </c>
      <c r="E142" s="460">
        <v>97489.56167929816</v>
      </c>
      <c r="F142" s="407">
        <v>178327.24043287459</v>
      </c>
      <c r="G142" s="407">
        <v>26820.811497692579</v>
      </c>
    </row>
    <row r="143" spans="3:7" x14ac:dyDescent="0.25">
      <c r="C143" s="432">
        <f t="shared" si="0"/>
        <v>2049</v>
      </c>
      <c r="D143" s="460">
        <v>87750.415271316335</v>
      </c>
      <c r="E143" s="460">
        <v>93992.884123789729</v>
      </c>
      <c r="F143" s="407">
        <v>171832.58479339952</v>
      </c>
      <c r="G143" s="407">
        <v>24153.271888357638</v>
      </c>
    </row>
    <row r="144" spans="3:7" x14ac:dyDescent="0.25">
      <c r="C144" s="432">
        <f t="shared" si="0"/>
        <v>2050</v>
      </c>
      <c r="D144" s="460">
        <v>84527.285946541611</v>
      </c>
      <c r="E144" s="460">
        <v>90556.067039241287</v>
      </c>
      <c r="F144" s="407">
        <v>165450.05667079042</v>
      </c>
      <c r="G144" s="407">
        <v>21734.696977905249</v>
      </c>
    </row>
    <row r="145" spans="3:7" x14ac:dyDescent="0.25">
      <c r="C145" s="432">
        <f t="shared" si="0"/>
        <v>2051</v>
      </c>
      <c r="D145" s="460">
        <v>81470.75151842201</v>
      </c>
      <c r="E145" s="460">
        <v>87295.703958562124</v>
      </c>
      <c r="F145" s="407">
        <v>159262.48722063162</v>
      </c>
      <c r="G145" s="407">
        <v>19553.134408452403</v>
      </c>
    </row>
    <row r="146" spans="3:7" x14ac:dyDescent="0.25">
      <c r="C146" s="432">
        <f t="shared" si="0"/>
        <v>2052</v>
      </c>
      <c r="D146" s="460">
        <v>78459.617637803414</v>
      </c>
      <c r="E146" s="460">
        <v>84082.16952208319</v>
      </c>
      <c r="F146" s="407">
        <v>78459.617637803414</v>
      </c>
      <c r="G146" s="407">
        <v>9002.545010157779</v>
      </c>
    </row>
    <row r="147" spans="3:7" x14ac:dyDescent="0.25">
      <c r="C147" s="432">
        <f t="shared" si="0"/>
        <v>2053</v>
      </c>
      <c r="D147" s="460">
        <v>75500.543168071425</v>
      </c>
      <c r="E147" s="460">
        <v>80922.770724248825</v>
      </c>
      <c r="F147" s="407">
        <v>75500.543168071425</v>
      </c>
      <c r="G147" s="407">
        <v>8096.2780078700935</v>
      </c>
    </row>
    <row r="148" spans="3:7" x14ac:dyDescent="0.25">
      <c r="C148" s="432">
        <f t="shared" si="0"/>
        <v>2054</v>
      </c>
      <c r="D148" s="460">
        <v>72569.34191011636</v>
      </c>
      <c r="E148" s="460">
        <v>77791.735702209611</v>
      </c>
      <c r="F148" s="407">
        <v>72569.34191011636</v>
      </c>
      <c r="G148" s="407">
        <v>7272.8518913768585</v>
      </c>
    </row>
    <row r="149" spans="3:7" x14ac:dyDescent="0.25">
      <c r="C149" s="650"/>
      <c r="D149" s="429"/>
      <c r="E149" s="429"/>
      <c r="F149" s="429"/>
      <c r="G149" s="429"/>
    </row>
    <row r="150" spans="3:7" x14ac:dyDescent="0.25">
      <c r="C150" s="660" t="s">
        <v>33</v>
      </c>
      <c r="D150" s="462">
        <v>3344492.9587952141</v>
      </c>
      <c r="E150" s="462">
        <v>3566397.4307140703</v>
      </c>
      <c r="F150" s="662">
        <v>6517822.2166542476</v>
      </c>
      <c r="G150" s="662">
        <v>2306647.6246628384</v>
      </c>
    </row>
  </sheetData>
  <mergeCells count="3">
    <mergeCell ref="D1:M1"/>
    <mergeCell ref="D116:D118"/>
    <mergeCell ref="E116:E1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86E9-A99D-41BB-9CA2-FC4E6C5554C1}">
  <sheetPr>
    <tabColor rgb="FFFFFF00"/>
  </sheetPr>
  <dimension ref="A1:O79"/>
  <sheetViews>
    <sheetView topLeftCell="A4" workbookViewId="0">
      <selection activeCell="I24" sqref="I24"/>
    </sheetView>
    <sheetView workbookViewId="1">
      <selection activeCell="E33" sqref="E33"/>
    </sheetView>
  </sheetViews>
  <sheetFormatPr defaultRowHeight="15.75" x14ac:dyDescent="0.25"/>
  <cols>
    <col min="2" max="2" width="18" customWidth="1"/>
    <col min="3" max="3" width="18.5" customWidth="1"/>
    <col min="4" max="4" width="16" customWidth="1"/>
    <col min="5" max="7" width="15.5" customWidth="1"/>
    <col min="8" max="8" width="22.875" customWidth="1"/>
    <col min="9" max="11" width="12" customWidth="1"/>
    <col min="12" max="12" width="13.625" customWidth="1"/>
    <col min="13" max="13" width="13.375" customWidth="1"/>
    <col min="14" max="14" width="13.5" customWidth="1"/>
    <col min="15" max="15" width="13.875" customWidth="1"/>
    <col min="16" max="18" width="12.875" customWidth="1"/>
    <col min="19" max="20" width="12.125" customWidth="1"/>
  </cols>
  <sheetData>
    <row r="1" spans="1:15" x14ac:dyDescent="0.25">
      <c r="A1" s="318"/>
      <c r="B1" s="318"/>
      <c r="C1" s="798" t="s">
        <v>335</v>
      </c>
      <c r="D1" s="798"/>
      <c r="E1" s="798"/>
      <c r="F1" s="798"/>
      <c r="G1" s="275"/>
      <c r="H1" s="275"/>
      <c r="I1" s="275"/>
      <c r="J1" s="275"/>
      <c r="K1" s="275"/>
      <c r="L1" s="275"/>
      <c r="M1" s="275"/>
      <c r="N1" s="275"/>
      <c r="O1" s="275"/>
    </row>
    <row r="2" spans="1:15" ht="15.75" customHeight="1" x14ac:dyDescent="0.25">
      <c r="C2" s="26" t="s">
        <v>34</v>
      </c>
      <c r="D2" s="274">
        <v>2020</v>
      </c>
    </row>
    <row r="3" spans="1:15" ht="15.75" customHeight="1" x14ac:dyDescent="0.25">
      <c r="C3" s="282" t="s">
        <v>324</v>
      </c>
      <c r="D3" s="274"/>
    </row>
    <row r="4" spans="1:15" ht="15.75" customHeight="1" thickBot="1" x14ac:dyDescent="0.3"/>
    <row r="5" spans="1:15" ht="31.5" x14ac:dyDescent="0.25">
      <c r="C5" s="287"/>
      <c r="D5" s="277" t="s">
        <v>16</v>
      </c>
      <c r="E5" s="283" t="s">
        <v>35</v>
      </c>
      <c r="F5" s="74" t="s">
        <v>36</v>
      </c>
      <c r="G5" s="274"/>
    </row>
    <row r="6" spans="1:15" ht="16.5" thickBot="1" x14ac:dyDescent="0.3">
      <c r="C6" s="288" t="s">
        <v>336</v>
      </c>
      <c r="D6" s="286">
        <f>E79</f>
        <v>11932800</v>
      </c>
      <c r="E6" s="284">
        <f t="shared" ref="E6:F6" si="0">F79</f>
        <v>3765513.6142436764</v>
      </c>
      <c r="F6" s="285">
        <f t="shared" si="0"/>
        <v>6926886.2952437475</v>
      </c>
    </row>
    <row r="8" spans="1:15" x14ac:dyDescent="0.25">
      <c r="D8" s="68"/>
    </row>
    <row r="9" spans="1:15" s="35" customFormat="1" ht="23.25" x14ac:dyDescent="0.2">
      <c r="B9" s="253" t="s">
        <v>337</v>
      </c>
      <c r="C9" s="42"/>
    </row>
    <row r="10" spans="1:15" s="35" customFormat="1" ht="12.75" x14ac:dyDescent="0.2">
      <c r="C10" s="42"/>
      <c r="D10" s="254"/>
      <c r="E10" s="42"/>
      <c r="F10" s="42"/>
      <c r="G10" s="42"/>
    </row>
    <row r="11" spans="1:15" s="35" customFormat="1" ht="12.75" x14ac:dyDescent="0.2">
      <c r="B11" s="35" t="s">
        <v>338</v>
      </c>
      <c r="C11" s="42"/>
    </row>
    <row r="12" spans="1:15" s="35" customFormat="1" ht="12.75" x14ac:dyDescent="0.2">
      <c r="B12" s="35" t="s">
        <v>343</v>
      </c>
      <c r="C12" s="42" t="s">
        <v>339</v>
      </c>
      <c r="D12" s="35" t="s">
        <v>340</v>
      </c>
      <c r="E12" s="35" t="s">
        <v>341</v>
      </c>
    </row>
    <row r="13" spans="1:15" s="35" customFormat="1" ht="12.75" x14ac:dyDescent="0.2">
      <c r="B13" s="35" t="s">
        <v>286</v>
      </c>
      <c r="C13" s="280">
        <v>7</v>
      </c>
      <c r="D13" s="280">
        <v>7</v>
      </c>
      <c r="E13" s="280">
        <v>14</v>
      </c>
    </row>
    <row r="14" spans="1:15" s="35" customFormat="1" ht="12.75" x14ac:dyDescent="0.2">
      <c r="B14" s="35" t="s">
        <v>342</v>
      </c>
      <c r="C14" s="42"/>
    </row>
    <row r="15" spans="1:15" s="35" customFormat="1" ht="12.75" x14ac:dyDescent="0.2">
      <c r="B15" s="35" t="s">
        <v>286</v>
      </c>
      <c r="C15" s="42">
        <v>1</v>
      </c>
      <c r="D15" s="35">
        <v>1</v>
      </c>
      <c r="E15" s="35">
        <v>2</v>
      </c>
    </row>
    <row r="16" spans="1:15" s="35" customFormat="1" ht="12.75" x14ac:dyDescent="0.2">
      <c r="B16" s="35" t="s">
        <v>344</v>
      </c>
      <c r="C16" s="42">
        <v>6</v>
      </c>
      <c r="D16" s="35">
        <v>6</v>
      </c>
      <c r="E16" s="35">
        <v>12</v>
      </c>
    </row>
    <row r="17" spans="2:13" s="35" customFormat="1" ht="12.75" x14ac:dyDescent="0.2">
      <c r="C17" s="42"/>
    </row>
    <row r="18" spans="2:13" s="35" customFormat="1" ht="12.75" x14ac:dyDescent="0.2"/>
    <row r="19" spans="2:13" s="35" customFormat="1" ht="12.75" x14ac:dyDescent="0.2"/>
    <row r="20" spans="2:13" s="35" customFormat="1" ht="12.75" x14ac:dyDescent="0.2">
      <c r="B20" s="35" t="s">
        <v>352</v>
      </c>
      <c r="D20" s="292">
        <v>32</v>
      </c>
    </row>
    <row r="21" spans="2:13" s="35" customFormat="1" ht="12.75" x14ac:dyDescent="0.2">
      <c r="C21" s="42"/>
    </row>
    <row r="22" spans="2:13" s="35" customFormat="1" ht="12.75" x14ac:dyDescent="0.2">
      <c r="B22" s="35" t="s">
        <v>346</v>
      </c>
      <c r="C22" s="42"/>
    </row>
    <row r="23" spans="2:13" s="35" customFormat="1" ht="12.75" x14ac:dyDescent="0.2">
      <c r="B23" s="35" t="s">
        <v>343</v>
      </c>
      <c r="C23" s="35" t="s">
        <v>266</v>
      </c>
      <c r="D23" s="35" t="s">
        <v>285</v>
      </c>
      <c r="E23" s="35" t="s">
        <v>291</v>
      </c>
      <c r="F23" s="35" t="s">
        <v>288</v>
      </c>
      <c r="G23" s="35" t="s">
        <v>345</v>
      </c>
      <c r="H23" s="35" t="s">
        <v>350</v>
      </c>
      <c r="I23" s="35" t="s">
        <v>353</v>
      </c>
    </row>
    <row r="24" spans="2:13" s="35" customFormat="1" ht="12.75" x14ac:dyDescent="0.2">
      <c r="B24" s="35" t="s">
        <v>286</v>
      </c>
      <c r="C24" s="42">
        <v>51</v>
      </c>
      <c r="D24" s="254">
        <v>2277</v>
      </c>
      <c r="E24" s="42">
        <f>D24/C24</f>
        <v>44.647058823529413</v>
      </c>
      <c r="F24" s="291" t="s">
        <v>42</v>
      </c>
      <c r="G24" s="291" t="s">
        <v>42</v>
      </c>
    </row>
    <row r="25" spans="2:13" s="35" customFormat="1" ht="12.75" x14ac:dyDescent="0.2">
      <c r="B25" s="35" t="s">
        <v>342</v>
      </c>
      <c r="C25" s="42"/>
    </row>
    <row r="26" spans="2:13" s="35" customFormat="1" ht="12.75" x14ac:dyDescent="0.2">
      <c r="B26" s="35" t="s">
        <v>287</v>
      </c>
      <c r="C26" s="42">
        <v>51</v>
      </c>
      <c r="D26" s="254">
        <v>2333</v>
      </c>
      <c r="E26" s="42">
        <f>D26/C26</f>
        <v>45.745098039215684</v>
      </c>
      <c r="F26" s="42" t="s">
        <v>289</v>
      </c>
      <c r="G26" s="42" t="s">
        <v>290</v>
      </c>
      <c r="H26" s="42">
        <f>C26*D29+D26*D30</f>
        <v>12430</v>
      </c>
      <c r="I26" s="293">
        <f>H26*D20</f>
        <v>397760</v>
      </c>
    </row>
    <row r="27" spans="2:13" s="35" customFormat="1" ht="12.75" x14ac:dyDescent="0.2">
      <c r="C27" s="42"/>
      <c r="D27" s="254"/>
      <c r="E27" s="42"/>
      <c r="F27" s="42"/>
      <c r="G27" s="42"/>
    </row>
    <row r="28" spans="2:13" s="35" customFormat="1" ht="12.75" x14ac:dyDescent="0.2">
      <c r="C28" s="42"/>
      <c r="H28" s="35" t="s">
        <v>351</v>
      </c>
    </row>
    <row r="29" spans="2:13" s="35" customFormat="1" ht="12.75" x14ac:dyDescent="0.2">
      <c r="B29" s="799" t="s">
        <v>296</v>
      </c>
      <c r="C29" s="799"/>
      <c r="D29" s="42">
        <v>15</v>
      </c>
    </row>
    <row r="30" spans="2:13" s="35" customFormat="1" ht="12.75" x14ac:dyDescent="0.2">
      <c r="B30" s="799" t="s">
        <v>295</v>
      </c>
      <c r="C30" s="799"/>
      <c r="D30" s="42">
        <v>5</v>
      </c>
    </row>
    <row r="31" spans="2:13" s="35" customFormat="1" ht="12.75" x14ac:dyDescent="0.2">
      <c r="D31" s="44"/>
      <c r="G31" s="42"/>
      <c r="H31" s="42"/>
      <c r="I31" s="42"/>
      <c r="J31" s="42"/>
      <c r="K31" s="42"/>
      <c r="L31" s="42"/>
      <c r="M31" s="42"/>
    </row>
    <row r="32" spans="2:13" s="35" customFormat="1" ht="12.75" x14ac:dyDescent="0.2">
      <c r="C32" s="42"/>
      <c r="G32" s="42"/>
      <c r="H32" s="42"/>
      <c r="I32" s="42"/>
      <c r="J32" s="42"/>
      <c r="K32" s="42"/>
      <c r="L32" s="42"/>
      <c r="M32" s="42"/>
    </row>
    <row r="33" spans="2:13" s="35" customFormat="1" ht="12" customHeight="1" x14ac:dyDescent="0.2">
      <c r="G33" s="42"/>
      <c r="H33" s="42"/>
      <c r="I33" s="42"/>
      <c r="J33" s="42"/>
      <c r="K33" s="42"/>
      <c r="L33" s="42"/>
      <c r="M33" s="87"/>
    </row>
    <row r="34" spans="2:13" s="35" customFormat="1" ht="12.75" x14ac:dyDescent="0.2">
      <c r="G34" s="42"/>
      <c r="H34" s="42"/>
      <c r="I34" s="42"/>
      <c r="J34" s="42"/>
      <c r="K34" s="42"/>
      <c r="L34" s="42"/>
      <c r="M34" s="87"/>
    </row>
    <row r="35" spans="2:13" x14ac:dyDescent="0.25">
      <c r="B35" t="s">
        <v>349</v>
      </c>
    </row>
    <row r="36" spans="2:13" x14ac:dyDescent="0.25">
      <c r="B36" s="35" t="s">
        <v>348</v>
      </c>
      <c r="C36" s="42"/>
      <c r="D36" s="35"/>
      <c r="E36" s="35"/>
    </row>
    <row r="37" spans="2:13" x14ac:dyDescent="0.25">
      <c r="B37" s="35" t="s">
        <v>347</v>
      </c>
      <c r="C37" s="42">
        <v>27</v>
      </c>
      <c r="D37" s="35">
        <v>27</v>
      </c>
      <c r="E37" s="35">
        <f>C37+D37</f>
        <v>54</v>
      </c>
    </row>
    <row r="38" spans="2:13" x14ac:dyDescent="0.25">
      <c r="B38" s="35" t="s">
        <v>33</v>
      </c>
      <c r="C38" s="42">
        <v>33</v>
      </c>
      <c r="D38" s="35">
        <v>33</v>
      </c>
      <c r="E38" s="35">
        <f>C38+D38</f>
        <v>66</v>
      </c>
    </row>
    <row r="40" spans="2:13" x14ac:dyDescent="0.25">
      <c r="B40" s="35" t="s">
        <v>266</v>
      </c>
      <c r="C40" s="35"/>
      <c r="D40" s="35"/>
      <c r="E40" s="35"/>
      <c r="F40" s="35"/>
      <c r="G40" s="35"/>
    </row>
    <row r="41" spans="2:13" x14ac:dyDescent="0.25">
      <c r="B41" s="35" t="s">
        <v>100</v>
      </c>
      <c r="C41" s="42">
        <v>102</v>
      </c>
      <c r="D41" s="254">
        <v>7200</v>
      </c>
      <c r="E41" s="42">
        <f>D41/C41</f>
        <v>70.588235294117652</v>
      </c>
      <c r="F41" s="42" t="s">
        <v>289</v>
      </c>
      <c r="G41" s="42" t="s">
        <v>290</v>
      </c>
    </row>
    <row r="42" spans="2:13" ht="16.5" thickBot="1" x14ac:dyDescent="0.3">
      <c r="B42" s="35"/>
      <c r="C42" s="42"/>
      <c r="D42" s="254"/>
      <c r="E42" s="42"/>
      <c r="F42" s="42"/>
      <c r="G42" s="42"/>
    </row>
    <row r="43" spans="2:13" ht="16.5" thickBot="1" x14ac:dyDescent="0.3">
      <c r="D43" s="300" t="s">
        <v>354</v>
      </c>
    </row>
    <row r="44" spans="2:13" x14ac:dyDescent="0.25">
      <c r="B44" s="287" t="s">
        <v>355</v>
      </c>
      <c r="C44" s="295">
        <v>2020</v>
      </c>
      <c r="D44" s="301"/>
    </row>
    <row r="45" spans="2:13" x14ac:dyDescent="0.25">
      <c r="B45" s="80"/>
      <c r="C45" s="296">
        <v>2021</v>
      </c>
      <c r="D45" s="302"/>
    </row>
    <row r="46" spans="2:13" ht="16.5" thickBot="1" x14ac:dyDescent="0.3">
      <c r="B46" s="78"/>
      <c r="C46" s="297">
        <v>2022</v>
      </c>
      <c r="D46" s="302"/>
      <c r="E46" s="179"/>
    </row>
    <row r="47" spans="2:13" x14ac:dyDescent="0.25">
      <c r="B47" s="78"/>
      <c r="C47" s="297">
        <v>2023</v>
      </c>
      <c r="D47" s="302"/>
      <c r="E47" s="308"/>
      <c r="F47" s="309" t="s">
        <v>356</v>
      </c>
      <c r="G47" s="278" t="s">
        <v>356</v>
      </c>
    </row>
    <row r="48" spans="2:13" ht="16.5" thickBot="1" x14ac:dyDescent="0.3">
      <c r="B48" s="79"/>
      <c r="C48" s="298">
        <v>2024</v>
      </c>
      <c r="D48" s="303"/>
      <c r="E48" s="279" t="s">
        <v>16</v>
      </c>
      <c r="F48" s="310">
        <v>7.0000000000000007E-2</v>
      </c>
      <c r="G48" s="310">
        <v>0.03</v>
      </c>
    </row>
    <row r="49" spans="2:7" x14ac:dyDescent="0.25">
      <c r="B49" s="77">
        <v>1</v>
      </c>
      <c r="C49" s="276">
        <v>2025</v>
      </c>
      <c r="D49" s="311">
        <f>I26</f>
        <v>397760</v>
      </c>
      <c r="E49" s="304">
        <f>D49</f>
        <v>397760</v>
      </c>
      <c r="F49" s="304">
        <f>D49/((1+F$48)^($C49-$C$44))</f>
        <v>283597.38275142392</v>
      </c>
      <c r="G49" s="304">
        <f>D49/((1+G$48)^($C49-$C$44))</f>
        <v>343111.27007664513</v>
      </c>
    </row>
    <row r="50" spans="2:7" x14ac:dyDescent="0.25">
      <c r="B50" s="80">
        <f t="shared" ref="B50:C65" si="1">B49+1</f>
        <v>2</v>
      </c>
      <c r="C50" s="299">
        <f t="shared" si="1"/>
        <v>2026</v>
      </c>
      <c r="D50" s="312">
        <f>D49</f>
        <v>397760</v>
      </c>
      <c r="E50" s="305">
        <f t="shared" ref="E50:E78" si="2">D50</f>
        <v>397760</v>
      </c>
      <c r="F50" s="305">
        <f t="shared" ref="F50:F78" si="3">D50/((1+F$48)^($C50-$C$44))</f>
        <v>265044.28294525604</v>
      </c>
      <c r="G50" s="305">
        <f t="shared" ref="G50:G78" si="4">D50/((1+G$48)^($C50-$C$44))</f>
        <v>333117.73793849041</v>
      </c>
    </row>
    <row r="51" spans="2:7" x14ac:dyDescent="0.25">
      <c r="B51" s="80">
        <f t="shared" si="1"/>
        <v>3</v>
      </c>
      <c r="C51" s="299">
        <f t="shared" si="1"/>
        <v>2027</v>
      </c>
      <c r="D51" s="312">
        <f t="shared" ref="D51:D78" si="5">D50</f>
        <v>397760</v>
      </c>
      <c r="E51" s="305">
        <f t="shared" si="2"/>
        <v>397760</v>
      </c>
      <c r="F51" s="305">
        <f t="shared" si="3"/>
        <v>247704.93733201496</v>
      </c>
      <c r="G51" s="305">
        <f t="shared" si="4"/>
        <v>323415.27955193241</v>
      </c>
    </row>
    <row r="52" spans="2:7" x14ac:dyDescent="0.25">
      <c r="B52" s="80">
        <f t="shared" si="1"/>
        <v>4</v>
      </c>
      <c r="C52" s="299">
        <f t="shared" si="1"/>
        <v>2028</v>
      </c>
      <c r="D52" s="312">
        <f t="shared" si="5"/>
        <v>397760</v>
      </c>
      <c r="E52" s="305">
        <f t="shared" si="2"/>
        <v>397760</v>
      </c>
      <c r="F52" s="305">
        <f t="shared" si="3"/>
        <v>231499.94143178969</v>
      </c>
      <c r="G52" s="305">
        <f t="shared" si="4"/>
        <v>313995.41704071109</v>
      </c>
    </row>
    <row r="53" spans="2:7" x14ac:dyDescent="0.25">
      <c r="B53" s="80">
        <f t="shared" si="1"/>
        <v>5</v>
      </c>
      <c r="C53" s="299">
        <f t="shared" si="1"/>
        <v>2029</v>
      </c>
      <c r="D53" s="312">
        <f t="shared" si="5"/>
        <v>397760</v>
      </c>
      <c r="E53" s="305">
        <f t="shared" si="2"/>
        <v>397760</v>
      </c>
      <c r="F53" s="305">
        <f t="shared" si="3"/>
        <v>216355.08545027071</v>
      </c>
      <c r="G53" s="305">
        <f t="shared" si="4"/>
        <v>304849.91945700103</v>
      </c>
    </row>
    <row r="54" spans="2:7" x14ac:dyDescent="0.25">
      <c r="B54" s="80">
        <f t="shared" si="1"/>
        <v>6</v>
      </c>
      <c r="C54" s="299">
        <f t="shared" si="1"/>
        <v>2030</v>
      </c>
      <c r="D54" s="312">
        <f t="shared" si="5"/>
        <v>397760</v>
      </c>
      <c r="E54" s="305">
        <f t="shared" si="2"/>
        <v>397760</v>
      </c>
      <c r="F54" s="305">
        <f t="shared" si="3"/>
        <v>202201.01443950535</v>
      </c>
      <c r="G54" s="305">
        <f t="shared" si="4"/>
        <v>295970.79558932141</v>
      </c>
    </row>
    <row r="55" spans="2:7" x14ac:dyDescent="0.25">
      <c r="B55" s="80">
        <f t="shared" si="1"/>
        <v>7</v>
      </c>
      <c r="C55" s="299">
        <f t="shared" si="1"/>
        <v>2031</v>
      </c>
      <c r="D55" s="312">
        <f t="shared" si="5"/>
        <v>397760</v>
      </c>
      <c r="E55" s="305">
        <f t="shared" si="2"/>
        <v>397760</v>
      </c>
      <c r="F55" s="305">
        <f t="shared" si="3"/>
        <v>188972.91069112648</v>
      </c>
      <c r="G55" s="305">
        <f t="shared" si="4"/>
        <v>287350.28697992367</v>
      </c>
    </row>
    <row r="56" spans="2:7" x14ac:dyDescent="0.25">
      <c r="B56" s="80">
        <f t="shared" si="1"/>
        <v>8</v>
      </c>
      <c r="C56" s="299">
        <f t="shared" si="1"/>
        <v>2032</v>
      </c>
      <c r="D56" s="312">
        <f t="shared" si="5"/>
        <v>397760</v>
      </c>
      <c r="E56" s="305">
        <f t="shared" si="2"/>
        <v>397760</v>
      </c>
      <c r="F56" s="305">
        <f t="shared" si="3"/>
        <v>176610.19690759486</v>
      </c>
      <c r="G56" s="305">
        <f t="shared" si="4"/>
        <v>278980.86114555702</v>
      </c>
    </row>
    <row r="57" spans="2:7" x14ac:dyDescent="0.25">
      <c r="B57" s="80">
        <f t="shared" si="1"/>
        <v>9</v>
      </c>
      <c r="C57" s="299">
        <f t="shared" si="1"/>
        <v>2033</v>
      </c>
      <c r="D57" s="312">
        <f t="shared" si="5"/>
        <v>397760</v>
      </c>
      <c r="E57" s="305">
        <f t="shared" si="2"/>
        <v>397760</v>
      </c>
      <c r="F57" s="305">
        <f t="shared" si="3"/>
        <v>165056.25879214471</v>
      </c>
      <c r="G57" s="305">
        <f t="shared" si="4"/>
        <v>270855.20499568642</v>
      </c>
    </row>
    <row r="58" spans="2:7" x14ac:dyDescent="0.25">
      <c r="B58" s="80">
        <f t="shared" si="1"/>
        <v>10</v>
      </c>
      <c r="C58" s="299">
        <f t="shared" si="1"/>
        <v>2034</v>
      </c>
      <c r="D58" s="312">
        <f t="shared" si="5"/>
        <v>397760</v>
      </c>
      <c r="E58" s="305">
        <f t="shared" si="2"/>
        <v>397760</v>
      </c>
      <c r="F58" s="305">
        <f t="shared" si="3"/>
        <v>154258.18578705116</v>
      </c>
      <c r="G58" s="305">
        <f t="shared" si="4"/>
        <v>262966.21844241401</v>
      </c>
    </row>
    <row r="59" spans="2:7" x14ac:dyDescent="0.25">
      <c r="B59" s="80">
        <f t="shared" si="1"/>
        <v>11</v>
      </c>
      <c r="C59" s="299">
        <f t="shared" si="1"/>
        <v>2035</v>
      </c>
      <c r="D59" s="312">
        <f t="shared" si="5"/>
        <v>397760</v>
      </c>
      <c r="E59" s="305">
        <f t="shared" si="2"/>
        <v>397760</v>
      </c>
      <c r="F59" s="305">
        <f t="shared" si="3"/>
        <v>144166.52877294499</v>
      </c>
      <c r="G59" s="305">
        <f t="shared" si="4"/>
        <v>255307.00819651844</v>
      </c>
    </row>
    <row r="60" spans="2:7" x14ac:dyDescent="0.25">
      <c r="B60" s="80">
        <f t="shared" si="1"/>
        <v>12</v>
      </c>
      <c r="C60" s="299">
        <f t="shared" si="1"/>
        <v>2036</v>
      </c>
      <c r="D60" s="312">
        <f t="shared" si="5"/>
        <v>397760</v>
      </c>
      <c r="E60" s="305">
        <f t="shared" si="2"/>
        <v>397760</v>
      </c>
      <c r="F60" s="305">
        <f t="shared" si="3"/>
        <v>134735.07361957477</v>
      </c>
      <c r="G60" s="305">
        <f t="shared" si="4"/>
        <v>247870.88174419268</v>
      </c>
    </row>
    <row r="61" spans="2:7" x14ac:dyDescent="0.25">
      <c r="B61" s="80">
        <f t="shared" si="1"/>
        <v>13</v>
      </c>
      <c r="C61" s="299">
        <f t="shared" si="1"/>
        <v>2037</v>
      </c>
      <c r="D61" s="312">
        <f t="shared" si="5"/>
        <v>397760</v>
      </c>
      <c r="E61" s="305">
        <f t="shared" si="2"/>
        <v>397760</v>
      </c>
      <c r="F61" s="305">
        <f t="shared" si="3"/>
        <v>125920.62955100446</v>
      </c>
      <c r="G61" s="305">
        <f t="shared" si="4"/>
        <v>240651.34149921621</v>
      </c>
    </row>
    <row r="62" spans="2:7" x14ac:dyDescent="0.25">
      <c r="B62" s="80">
        <f t="shared" si="1"/>
        <v>14</v>
      </c>
      <c r="C62" s="299">
        <f t="shared" si="1"/>
        <v>2038</v>
      </c>
      <c r="D62" s="312">
        <f t="shared" si="5"/>
        <v>397760</v>
      </c>
      <c r="E62" s="305">
        <f t="shared" si="2"/>
        <v>397760</v>
      </c>
      <c r="F62" s="305">
        <f t="shared" si="3"/>
        <v>117682.83135607892</v>
      </c>
      <c r="G62" s="305">
        <f t="shared" si="4"/>
        <v>233642.07912545261</v>
      </c>
    </row>
    <row r="63" spans="2:7" x14ac:dyDescent="0.25">
      <c r="B63" s="80">
        <f t="shared" si="1"/>
        <v>15</v>
      </c>
      <c r="C63" s="299">
        <f t="shared" si="1"/>
        <v>2039</v>
      </c>
      <c r="D63" s="312">
        <f t="shared" si="5"/>
        <v>397760</v>
      </c>
      <c r="E63" s="305">
        <f t="shared" si="2"/>
        <v>397760</v>
      </c>
      <c r="F63" s="305">
        <f t="shared" si="3"/>
        <v>109983.95453839151</v>
      </c>
      <c r="G63" s="305">
        <f t="shared" si="4"/>
        <v>226836.97002471128</v>
      </c>
    </row>
    <row r="64" spans="2:7" x14ac:dyDescent="0.25">
      <c r="B64" s="80">
        <f t="shared" si="1"/>
        <v>16</v>
      </c>
      <c r="C64" s="299">
        <f t="shared" si="1"/>
        <v>2040</v>
      </c>
      <c r="D64" s="312">
        <f t="shared" si="5"/>
        <v>397760</v>
      </c>
      <c r="E64" s="305">
        <f t="shared" si="2"/>
        <v>397760</v>
      </c>
      <c r="F64" s="305">
        <f t="shared" si="3"/>
        <v>102788.74255924442</v>
      </c>
      <c r="G64" s="305">
        <f t="shared" si="4"/>
        <v>220230.06798515661</v>
      </c>
    </row>
    <row r="65" spans="2:7" x14ac:dyDescent="0.25">
      <c r="B65" s="80">
        <f t="shared" si="1"/>
        <v>17</v>
      </c>
      <c r="C65" s="299">
        <f t="shared" si="1"/>
        <v>2041</v>
      </c>
      <c r="D65" s="312">
        <f t="shared" si="5"/>
        <v>397760</v>
      </c>
      <c r="E65" s="305">
        <f t="shared" si="2"/>
        <v>397760</v>
      </c>
      <c r="F65" s="305">
        <f t="shared" si="3"/>
        <v>96064.245382471403</v>
      </c>
      <c r="G65" s="305">
        <f t="shared" si="4"/>
        <v>213815.59998558895</v>
      </c>
    </row>
    <row r="66" spans="2:7" x14ac:dyDescent="0.25">
      <c r="B66" s="80">
        <f t="shared" ref="B66:C78" si="6">B65+1</f>
        <v>18</v>
      </c>
      <c r="C66" s="299">
        <f t="shared" si="6"/>
        <v>2042</v>
      </c>
      <c r="D66" s="312">
        <f t="shared" si="5"/>
        <v>397760</v>
      </c>
      <c r="E66" s="305">
        <f t="shared" si="2"/>
        <v>397760</v>
      </c>
      <c r="F66" s="305">
        <f t="shared" si="3"/>
        <v>89779.668581748978</v>
      </c>
      <c r="G66" s="305">
        <f t="shared" si="4"/>
        <v>207587.96115105721</v>
      </c>
    </row>
    <row r="67" spans="2:7" x14ac:dyDescent="0.25">
      <c r="B67" s="80">
        <f t="shared" si="6"/>
        <v>19</v>
      </c>
      <c r="C67" s="299">
        <f t="shared" si="6"/>
        <v>2043</v>
      </c>
      <c r="D67" s="312">
        <f t="shared" si="5"/>
        <v>397760</v>
      </c>
      <c r="E67" s="305">
        <f t="shared" si="2"/>
        <v>397760</v>
      </c>
      <c r="F67" s="305">
        <f t="shared" si="3"/>
        <v>83906.232319391565</v>
      </c>
      <c r="G67" s="305">
        <f t="shared" si="4"/>
        <v>201541.70985539534</v>
      </c>
    </row>
    <row r="68" spans="2:7" x14ac:dyDescent="0.25">
      <c r="B68" s="80">
        <f t="shared" si="6"/>
        <v>20</v>
      </c>
      <c r="C68" s="299">
        <f t="shared" si="6"/>
        <v>2044</v>
      </c>
      <c r="D68" s="312">
        <f t="shared" si="5"/>
        <v>397760</v>
      </c>
      <c r="E68" s="305">
        <f t="shared" si="2"/>
        <v>397760</v>
      </c>
      <c r="F68" s="305">
        <f t="shared" si="3"/>
        <v>78417.039550833244</v>
      </c>
      <c r="G68" s="305">
        <f t="shared" si="4"/>
        <v>195671.56296640329</v>
      </c>
    </row>
    <row r="69" spans="2:7" x14ac:dyDescent="0.25">
      <c r="B69" s="80">
        <f t="shared" si="6"/>
        <v>21</v>
      </c>
      <c r="C69" s="299">
        <f t="shared" si="6"/>
        <v>2045</v>
      </c>
      <c r="D69" s="312">
        <f t="shared" si="5"/>
        <v>397760</v>
      </c>
      <c r="E69" s="305">
        <f t="shared" si="2"/>
        <v>397760</v>
      </c>
      <c r="F69" s="305">
        <f t="shared" si="3"/>
        <v>73286.952851246009</v>
      </c>
      <c r="G69" s="305">
        <f t="shared" si="4"/>
        <v>189972.39122951776</v>
      </c>
    </row>
    <row r="70" spans="2:7" x14ac:dyDescent="0.25">
      <c r="B70" s="80">
        <f t="shared" si="6"/>
        <v>22</v>
      </c>
      <c r="C70" s="299">
        <f t="shared" si="6"/>
        <v>2046</v>
      </c>
      <c r="D70" s="312">
        <f t="shared" si="5"/>
        <v>397760</v>
      </c>
      <c r="E70" s="305">
        <f t="shared" si="2"/>
        <v>397760</v>
      </c>
      <c r="F70" s="305">
        <f t="shared" si="3"/>
        <v>68492.479300229927</v>
      </c>
      <c r="G70" s="305">
        <f t="shared" si="4"/>
        <v>184439.21478593955</v>
      </c>
    </row>
    <row r="71" spans="2:7" x14ac:dyDescent="0.25">
      <c r="B71" s="80">
        <f t="shared" si="6"/>
        <v>23</v>
      </c>
      <c r="C71" s="299">
        <f t="shared" si="6"/>
        <v>2047</v>
      </c>
      <c r="D71" s="312">
        <f t="shared" si="5"/>
        <v>397760</v>
      </c>
      <c r="E71" s="305">
        <f t="shared" si="2"/>
        <v>397760</v>
      </c>
      <c r="F71" s="305">
        <f t="shared" si="3"/>
        <v>64011.66289741113</v>
      </c>
      <c r="G71" s="305">
        <f t="shared" si="4"/>
        <v>179067.19882130055</v>
      </c>
    </row>
    <row r="72" spans="2:7" x14ac:dyDescent="0.25">
      <c r="B72" s="80">
        <f t="shared" si="6"/>
        <v>24</v>
      </c>
      <c r="C72" s="299">
        <f t="shared" si="6"/>
        <v>2048</v>
      </c>
      <c r="D72" s="312">
        <f t="shared" si="5"/>
        <v>397760</v>
      </c>
      <c r="E72" s="305">
        <f t="shared" si="2"/>
        <v>397760</v>
      </c>
      <c r="F72" s="305">
        <f t="shared" si="3"/>
        <v>59823.984016272101</v>
      </c>
      <c r="G72" s="305">
        <f t="shared" si="4"/>
        <v>173851.64934106849</v>
      </c>
    </row>
    <row r="73" spans="2:7" x14ac:dyDescent="0.25">
      <c r="B73" s="80">
        <f t="shared" si="6"/>
        <v>25</v>
      </c>
      <c r="C73" s="299">
        <f t="shared" si="6"/>
        <v>2049</v>
      </c>
      <c r="D73" s="312">
        <f t="shared" si="5"/>
        <v>397760</v>
      </c>
      <c r="E73" s="305">
        <f t="shared" si="2"/>
        <v>397760</v>
      </c>
      <c r="F73" s="305">
        <f t="shared" si="3"/>
        <v>55910.265435768313</v>
      </c>
      <c r="G73" s="305">
        <f t="shared" si="4"/>
        <v>168788.00906899854</v>
      </c>
    </row>
    <row r="74" spans="2:7" x14ac:dyDescent="0.25">
      <c r="B74" s="80">
        <f t="shared" si="6"/>
        <v>26</v>
      </c>
      <c r="C74" s="299">
        <f t="shared" si="6"/>
        <v>2050</v>
      </c>
      <c r="D74" s="312">
        <f t="shared" si="5"/>
        <v>397760</v>
      </c>
      <c r="E74" s="305">
        <f t="shared" si="2"/>
        <v>397760</v>
      </c>
      <c r="F74" s="305">
        <f t="shared" si="3"/>
        <v>52252.58451940964</v>
      </c>
      <c r="G74" s="305">
        <f t="shared" si="4"/>
        <v>163871.85346504714</v>
      </c>
    </row>
    <row r="75" spans="2:7" x14ac:dyDescent="0.25">
      <c r="B75" s="80">
        <f t="shared" si="6"/>
        <v>27</v>
      </c>
      <c r="C75" s="299">
        <f t="shared" si="6"/>
        <v>2051</v>
      </c>
      <c r="D75" s="312">
        <f t="shared" si="5"/>
        <v>397760</v>
      </c>
      <c r="E75" s="305">
        <f t="shared" si="2"/>
        <v>397760</v>
      </c>
      <c r="F75" s="305">
        <f t="shared" si="3"/>
        <v>48834.191139635172</v>
      </c>
      <c r="G75" s="305">
        <f t="shared" si="4"/>
        <v>159098.88685926903</v>
      </c>
    </row>
    <row r="76" spans="2:7" x14ac:dyDescent="0.25">
      <c r="B76" s="80">
        <f t="shared" si="6"/>
        <v>28</v>
      </c>
      <c r="C76" s="299">
        <f t="shared" si="6"/>
        <v>2052</v>
      </c>
      <c r="D76" s="312">
        <f t="shared" si="5"/>
        <v>397760</v>
      </c>
      <c r="E76" s="305">
        <f t="shared" si="2"/>
        <v>397760</v>
      </c>
      <c r="F76" s="305">
        <f t="shared" si="3"/>
        <v>45639.430971621659</v>
      </c>
      <c r="G76" s="305">
        <f t="shared" si="4"/>
        <v>154464.93869831949</v>
      </c>
    </row>
    <row r="77" spans="2:7" x14ac:dyDescent="0.25">
      <c r="B77" s="80">
        <f t="shared" si="6"/>
        <v>29</v>
      </c>
      <c r="C77" s="299">
        <f t="shared" si="6"/>
        <v>2053</v>
      </c>
      <c r="D77" s="312">
        <f t="shared" si="5"/>
        <v>397760</v>
      </c>
      <c r="E77" s="305">
        <f t="shared" si="2"/>
        <v>397760</v>
      </c>
      <c r="F77" s="305">
        <f t="shared" si="3"/>
        <v>42653.673805253886</v>
      </c>
      <c r="G77" s="305">
        <f t="shared" si="4"/>
        <v>149965.95990128105</v>
      </c>
    </row>
    <row r="78" spans="2:7" ht="16.5" thickBot="1" x14ac:dyDescent="0.3">
      <c r="B78" s="313">
        <f t="shared" si="6"/>
        <v>30</v>
      </c>
      <c r="C78" s="181">
        <f t="shared" si="6"/>
        <v>2054</v>
      </c>
      <c r="D78" s="314">
        <f t="shared" si="5"/>
        <v>397760</v>
      </c>
      <c r="E78" s="306">
        <f t="shared" si="2"/>
        <v>397760</v>
      </c>
      <c r="F78" s="306">
        <f t="shared" si="3"/>
        <v>39863.246546966249</v>
      </c>
      <c r="G78" s="306">
        <f t="shared" si="4"/>
        <v>145598.01932163211</v>
      </c>
    </row>
    <row r="79" spans="2:7" x14ac:dyDescent="0.25">
      <c r="D79" s="307" t="s">
        <v>33</v>
      </c>
      <c r="E79" s="294">
        <f>SUM(E49:E78)</f>
        <v>11932800</v>
      </c>
      <c r="F79" s="294">
        <f>SUM(F49:F78)</f>
        <v>3765513.6142436764</v>
      </c>
      <c r="G79" s="294">
        <f>SUM(G49:G78)</f>
        <v>6926886.2952437475</v>
      </c>
    </row>
  </sheetData>
  <mergeCells count="3">
    <mergeCell ref="C1:F1"/>
    <mergeCell ref="B29:C29"/>
    <mergeCell ref="B30:C3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C1:U98"/>
  <sheetViews>
    <sheetView workbookViewId="0">
      <selection activeCell="D6" sqref="D6"/>
    </sheetView>
    <sheetView workbookViewId="1">
      <selection activeCell="D6" sqref="D6:F6"/>
    </sheetView>
  </sheetViews>
  <sheetFormatPr defaultRowHeight="15.75" x14ac:dyDescent="0.25"/>
  <cols>
    <col min="2" max="2" width="9.625" customWidth="1"/>
    <col min="3" max="4" width="13.625" customWidth="1"/>
    <col min="5" max="6" width="13.875" customWidth="1"/>
    <col min="7" max="10" width="14.5" customWidth="1"/>
    <col min="11" max="11" width="15.875" customWidth="1"/>
    <col min="12" max="12" width="14" customWidth="1"/>
    <col min="13" max="13" width="13.75" customWidth="1"/>
    <col min="14" max="14" width="13" customWidth="1"/>
    <col min="15" max="15" width="13.25" customWidth="1"/>
    <col min="16" max="16" width="13.125" customWidth="1"/>
    <col min="17" max="19" width="12.875" customWidth="1"/>
    <col min="20" max="21" width="12.125" customWidth="1"/>
  </cols>
  <sheetData>
    <row r="1" spans="3:19" x14ac:dyDescent="0.25">
      <c r="D1" s="800" t="s">
        <v>37</v>
      </c>
      <c r="E1" s="800"/>
      <c r="F1" s="800"/>
      <c r="G1" s="800"/>
      <c r="H1" s="800"/>
      <c r="I1" s="800"/>
      <c r="J1" s="800"/>
      <c r="K1" s="800"/>
      <c r="L1" s="800"/>
      <c r="M1" s="800"/>
      <c r="N1" s="800"/>
      <c r="O1" s="800"/>
      <c r="P1" s="800"/>
    </row>
    <row r="2" spans="3:19" ht="15.75" customHeight="1" x14ac:dyDescent="0.25">
      <c r="C2" s="26" t="s">
        <v>34</v>
      </c>
      <c r="D2" s="274">
        <v>2020</v>
      </c>
    </row>
    <row r="3" spans="3:19" ht="15.75" customHeight="1" x14ac:dyDescent="0.25">
      <c r="C3" s="282" t="s">
        <v>384</v>
      </c>
      <c r="D3" s="274"/>
    </row>
    <row r="4" spans="3:19" ht="15.75" customHeight="1" thickBot="1" x14ac:dyDescent="0.3"/>
    <row r="5" spans="3:19" ht="31.5" x14ac:dyDescent="0.25">
      <c r="C5" s="287"/>
      <c r="D5" s="277" t="s">
        <v>16</v>
      </c>
      <c r="E5" s="283" t="s">
        <v>35</v>
      </c>
      <c r="F5" s="74" t="s">
        <v>36</v>
      </c>
      <c r="G5" s="27"/>
    </row>
    <row r="6" spans="3:19" ht="16.5" thickBot="1" x14ac:dyDescent="0.3">
      <c r="C6" s="288" t="s">
        <v>327</v>
      </c>
      <c r="D6" s="286">
        <f>1000000*Notes!C57</f>
        <v>1752935.2629696578</v>
      </c>
      <c r="E6" s="284">
        <f>1000000*Notes!D57</f>
        <v>494832.69312643999</v>
      </c>
      <c r="F6" s="285">
        <f>1000000*Notes!E57</f>
        <v>963058.54951362778</v>
      </c>
      <c r="P6" s="13"/>
      <c r="Q6" s="29"/>
      <c r="R6" s="29"/>
      <c r="S6" s="29"/>
    </row>
    <row r="8" spans="3:19" ht="18.75" x14ac:dyDescent="0.25">
      <c r="C8" s="523" t="s">
        <v>486</v>
      </c>
      <c r="D8" s="456"/>
      <c r="E8" s="366"/>
      <c r="F8" s="366"/>
      <c r="G8" s="366"/>
      <c r="H8" s="366"/>
      <c r="I8" s="366"/>
      <c r="J8" s="366"/>
      <c r="K8" s="366"/>
      <c r="L8" s="524"/>
      <c r="M8" s="524"/>
      <c r="N8" s="524"/>
      <c r="O8" s="366"/>
      <c r="P8" s="366"/>
      <c r="Q8" s="366"/>
    </row>
    <row r="9" spans="3:19" ht="18.75" x14ac:dyDescent="0.25">
      <c r="C9" s="523"/>
      <c r="D9" s="456"/>
      <c r="E9" s="366"/>
      <c r="F9" s="366"/>
      <c r="G9" s="366"/>
      <c r="H9" s="366"/>
      <c r="I9" s="366"/>
      <c r="J9" s="366"/>
      <c r="K9" s="366"/>
      <c r="L9" s="524"/>
      <c r="M9" s="524"/>
      <c r="N9" s="524"/>
      <c r="O9" s="366"/>
      <c r="P9" s="366"/>
      <c r="Q9" s="366"/>
    </row>
    <row r="10" spans="3:19" ht="18.75" x14ac:dyDescent="0.25">
      <c r="C10" s="327" t="s">
        <v>385</v>
      </c>
      <c r="D10" s="328"/>
      <c r="E10" s="329"/>
      <c r="F10" s="329"/>
      <c r="G10" s="329"/>
      <c r="H10" s="329"/>
      <c r="I10" s="329"/>
      <c r="J10" s="329"/>
      <c r="K10" s="329"/>
      <c r="L10" s="330"/>
      <c r="M10" s="330"/>
      <c r="N10" s="330"/>
      <c r="O10" s="329"/>
      <c r="P10" s="329"/>
      <c r="Q10" s="331"/>
    </row>
    <row r="11" spans="3:19" x14ac:dyDescent="0.25">
      <c r="C11" s="332"/>
      <c r="D11" s="333"/>
      <c r="E11" s="334"/>
      <c r="F11" s="334"/>
      <c r="G11" s="334"/>
      <c r="H11" s="334"/>
      <c r="I11" s="334"/>
      <c r="J11" s="334"/>
      <c r="K11" s="334"/>
      <c r="L11" s="335"/>
      <c r="M11" s="335"/>
      <c r="N11" s="335"/>
      <c r="O11" s="334"/>
      <c r="P11" s="334"/>
      <c r="Q11" s="340"/>
    </row>
    <row r="12" spans="3:19" x14ac:dyDescent="0.25">
      <c r="C12" s="341" t="s">
        <v>441</v>
      </c>
      <c r="D12" s="338"/>
      <c r="E12" s="342"/>
      <c r="F12" s="342"/>
      <c r="G12" s="343"/>
      <c r="H12" s="464"/>
      <c r="I12" s="464"/>
      <c r="J12" s="464"/>
      <c r="K12" s="464"/>
      <c r="L12" s="333"/>
      <c r="M12" s="465" t="s">
        <v>487</v>
      </c>
      <c r="N12" s="342"/>
      <c r="O12" s="342"/>
      <c r="P12" s="339"/>
      <c r="Q12" s="340"/>
    </row>
    <row r="13" spans="3:19" x14ac:dyDescent="0.25">
      <c r="C13" s="347" t="s">
        <v>444</v>
      </c>
      <c r="D13" s="333"/>
      <c r="E13" s="348" t="s">
        <v>445</v>
      </c>
      <c r="F13" s="348" t="s">
        <v>446</v>
      </c>
      <c r="G13" s="334"/>
      <c r="H13" s="334"/>
      <c r="I13" s="334"/>
      <c r="J13" s="334"/>
      <c r="K13" s="334"/>
      <c r="L13" s="334"/>
      <c r="M13" s="344" t="s">
        <v>488</v>
      </c>
      <c r="N13" s="334"/>
      <c r="O13" s="344" t="s">
        <v>444</v>
      </c>
      <c r="P13" s="344" t="s">
        <v>489</v>
      </c>
      <c r="Q13" s="340"/>
    </row>
    <row r="14" spans="3:19" x14ac:dyDescent="0.25">
      <c r="C14" s="350"/>
      <c r="D14" s="334"/>
      <c r="E14" s="334"/>
      <c r="F14" s="334"/>
      <c r="G14" s="334"/>
      <c r="H14" s="334"/>
      <c r="I14" s="334"/>
      <c r="J14" s="334"/>
      <c r="K14" s="334"/>
      <c r="L14" s="334"/>
      <c r="M14" s="333"/>
      <c r="N14" s="333"/>
      <c r="O14" s="333"/>
      <c r="P14" s="334"/>
      <c r="Q14" s="340"/>
    </row>
    <row r="15" spans="3:19" x14ac:dyDescent="0.25">
      <c r="C15" s="341" t="s">
        <v>490</v>
      </c>
      <c r="D15" s="338"/>
      <c r="E15" s="342"/>
      <c r="F15" s="342"/>
      <c r="G15" s="339"/>
      <c r="H15" s="466"/>
      <c r="I15" s="466"/>
      <c r="J15" s="466"/>
      <c r="K15" s="466"/>
      <c r="L15" s="334"/>
      <c r="M15" s="333"/>
      <c r="N15" s="333"/>
      <c r="O15" s="333"/>
      <c r="P15" s="334"/>
      <c r="Q15" s="340"/>
    </row>
    <row r="16" spans="3:19" x14ac:dyDescent="0.25">
      <c r="C16" s="351" t="s">
        <v>488</v>
      </c>
      <c r="D16" s="352"/>
      <c r="E16" s="353" t="s">
        <v>444</v>
      </c>
      <c r="F16" s="353" t="s">
        <v>489</v>
      </c>
      <c r="G16" s="354"/>
      <c r="H16" s="354"/>
      <c r="I16" s="354"/>
      <c r="J16" s="354"/>
      <c r="K16" s="354"/>
      <c r="L16" s="354"/>
      <c r="M16" s="352"/>
      <c r="N16" s="352"/>
      <c r="O16" s="358"/>
      <c r="P16" s="358"/>
      <c r="Q16" s="359"/>
    </row>
    <row r="19" spans="3:21" x14ac:dyDescent="0.25">
      <c r="C19" s="536" t="s">
        <v>480</v>
      </c>
      <c r="D19" s="366"/>
      <c r="E19" s="366"/>
      <c r="F19" s="366"/>
      <c r="G19" s="366"/>
      <c r="H19" s="366"/>
      <c r="I19" s="366"/>
      <c r="J19" s="366"/>
      <c r="K19" s="366"/>
      <c r="L19" s="366"/>
      <c r="M19" s="366"/>
      <c r="N19" s="366"/>
      <c r="O19" s="366"/>
      <c r="P19" s="366"/>
      <c r="Q19" s="469"/>
      <c r="R19" s="469"/>
      <c r="S19" s="366"/>
      <c r="T19" s="469"/>
      <c r="U19" s="366"/>
    </row>
    <row r="20" spans="3:21" x14ac:dyDescent="0.25">
      <c r="C20" s="366"/>
      <c r="D20" s="366"/>
      <c r="E20" s="537"/>
      <c r="F20" s="537"/>
      <c r="G20" s="537"/>
      <c r="H20" s="537"/>
      <c r="I20" s="537"/>
      <c r="J20" s="537"/>
      <c r="K20" s="537"/>
      <c r="L20" s="537"/>
      <c r="M20" s="537"/>
      <c r="N20" s="537"/>
      <c r="O20" s="537"/>
      <c r="P20" s="366"/>
      <c r="Q20" s="469"/>
      <c r="R20" s="801" t="s">
        <v>491</v>
      </c>
      <c r="S20" s="802"/>
      <c r="T20" s="802"/>
      <c r="U20" s="803"/>
    </row>
    <row r="21" spans="3:21" x14ac:dyDescent="0.25">
      <c r="C21" s="676"/>
      <c r="D21" s="677" t="s">
        <v>455</v>
      </c>
      <c r="E21" s="678"/>
      <c r="F21" s="677" t="s">
        <v>404</v>
      </c>
      <c r="G21" s="678"/>
      <c r="H21" s="677" t="s">
        <v>492</v>
      </c>
      <c r="I21" s="678"/>
      <c r="J21" s="677" t="s">
        <v>407</v>
      </c>
      <c r="K21" s="678"/>
      <c r="L21" s="677" t="s">
        <v>456</v>
      </c>
      <c r="M21" s="679"/>
      <c r="N21" s="677" t="s">
        <v>406</v>
      </c>
      <c r="O21" s="678"/>
      <c r="P21" s="677" t="s">
        <v>471</v>
      </c>
      <c r="Q21" s="679"/>
      <c r="R21" s="677" t="s">
        <v>493</v>
      </c>
      <c r="S21" s="677"/>
      <c r="T21" s="677" t="s">
        <v>494</v>
      </c>
      <c r="U21" s="677"/>
    </row>
    <row r="22" spans="3:21" x14ac:dyDescent="0.25">
      <c r="C22" s="680"/>
      <c r="D22" s="681" t="s">
        <v>458</v>
      </c>
      <c r="E22" s="681"/>
      <c r="F22" s="681" t="s">
        <v>459</v>
      </c>
      <c r="G22" s="681"/>
      <c r="H22" s="681" t="s">
        <v>495</v>
      </c>
      <c r="I22" s="681"/>
      <c r="J22" s="681" t="s">
        <v>496</v>
      </c>
      <c r="K22" s="681"/>
      <c r="L22" s="681" t="s">
        <v>460</v>
      </c>
      <c r="M22" s="682"/>
      <c r="N22" s="681" t="s">
        <v>461</v>
      </c>
      <c r="O22" s="681"/>
      <c r="P22" s="681" t="s">
        <v>497</v>
      </c>
      <c r="Q22" s="682"/>
      <c r="R22" s="681" t="s">
        <v>417</v>
      </c>
      <c r="S22" s="681"/>
      <c r="T22" s="681" t="s">
        <v>417</v>
      </c>
      <c r="U22" s="681"/>
    </row>
    <row r="23" spans="3:21" x14ac:dyDescent="0.25">
      <c r="C23" s="683" t="s">
        <v>31</v>
      </c>
      <c r="D23" s="684"/>
      <c r="E23" s="684"/>
      <c r="F23" s="684"/>
      <c r="G23" s="684"/>
      <c r="H23" s="684"/>
      <c r="I23" s="684"/>
      <c r="J23" s="684"/>
      <c r="K23" s="684"/>
      <c r="L23" s="684"/>
      <c r="M23" s="684"/>
      <c r="N23" s="684"/>
      <c r="O23" s="684"/>
      <c r="P23" s="684"/>
      <c r="Q23" s="684"/>
      <c r="R23" s="684"/>
      <c r="S23" s="684"/>
      <c r="T23" s="684"/>
      <c r="U23" s="684"/>
    </row>
    <row r="24" spans="3:21" x14ac:dyDescent="0.25">
      <c r="C24" s="685"/>
      <c r="D24" s="684" t="s">
        <v>422</v>
      </c>
      <c r="E24" s="684" t="s">
        <v>100</v>
      </c>
      <c r="F24" s="684" t="s">
        <v>422</v>
      </c>
      <c r="G24" s="684" t="s">
        <v>100</v>
      </c>
      <c r="H24" s="684" t="s">
        <v>422</v>
      </c>
      <c r="I24" s="684" t="s">
        <v>100</v>
      </c>
      <c r="J24" s="684" t="s">
        <v>422</v>
      </c>
      <c r="K24" s="684" t="s">
        <v>100</v>
      </c>
      <c r="L24" s="684" t="s">
        <v>422</v>
      </c>
      <c r="M24" s="684" t="s">
        <v>100</v>
      </c>
      <c r="N24" s="684" t="s">
        <v>422</v>
      </c>
      <c r="O24" s="684" t="s">
        <v>100</v>
      </c>
      <c r="P24" s="684" t="s">
        <v>422</v>
      </c>
      <c r="Q24" s="684" t="s">
        <v>100</v>
      </c>
      <c r="R24" s="684" t="s">
        <v>422</v>
      </c>
      <c r="S24" s="684" t="s">
        <v>100</v>
      </c>
      <c r="T24" s="684" t="s">
        <v>422</v>
      </c>
      <c r="U24" s="684" t="s">
        <v>100</v>
      </c>
    </row>
    <row r="25" spans="3:21" x14ac:dyDescent="0.25">
      <c r="C25" s="686">
        <v>2020</v>
      </c>
      <c r="D25" s="687">
        <v>767595</v>
      </c>
      <c r="E25" s="687">
        <v>808110</v>
      </c>
      <c r="F25" s="687">
        <v>76650</v>
      </c>
      <c r="G25" s="687">
        <v>22995</v>
      </c>
      <c r="H25" s="687">
        <v>0</v>
      </c>
      <c r="I25" s="687">
        <v>0</v>
      </c>
      <c r="J25" s="687">
        <v>0</v>
      </c>
      <c r="K25" s="687">
        <v>0</v>
      </c>
      <c r="L25" s="688">
        <v>10</v>
      </c>
      <c r="M25" s="688">
        <v>35.1</v>
      </c>
      <c r="N25" s="689">
        <v>0.38</v>
      </c>
      <c r="O25" s="689">
        <v>0.38</v>
      </c>
      <c r="P25" s="687">
        <v>475979.72972972976</v>
      </c>
      <c r="Q25" s="687">
        <v>524317.56756756757</v>
      </c>
      <c r="R25" s="690">
        <v>49405.40050161304</v>
      </c>
      <c r="S25" s="690">
        <v>30268.809852436389</v>
      </c>
      <c r="T25" s="690">
        <v>6544.480385582423</v>
      </c>
      <c r="U25" s="690">
        <v>7209.1011915793933</v>
      </c>
    </row>
    <row r="26" spans="3:21" x14ac:dyDescent="0.25">
      <c r="C26" s="686">
        <v>2054</v>
      </c>
      <c r="D26" s="687">
        <v>7393440</v>
      </c>
      <c r="E26" s="687">
        <v>8495010</v>
      </c>
      <c r="F26" s="687">
        <v>739490</v>
      </c>
      <c r="G26" s="687">
        <v>242725</v>
      </c>
      <c r="H26" s="687">
        <v>0</v>
      </c>
      <c r="I26" s="687">
        <v>0</v>
      </c>
      <c r="J26" s="687">
        <v>0</v>
      </c>
      <c r="K26" s="687">
        <v>0</v>
      </c>
      <c r="L26" s="688">
        <v>10</v>
      </c>
      <c r="M26" s="688">
        <v>35</v>
      </c>
      <c r="N26" s="689">
        <v>0.38</v>
      </c>
      <c r="O26" s="689">
        <v>0.38</v>
      </c>
      <c r="P26" s="687">
        <v>4584942.5675675673</v>
      </c>
      <c r="Q26" s="687">
        <v>5267837.8378378376</v>
      </c>
      <c r="R26" s="690">
        <v>445827.94367032836</v>
      </c>
      <c r="S26" s="690">
        <v>343316.79063978657</v>
      </c>
      <c r="T26" s="690">
        <v>50880.528880082478</v>
      </c>
      <c r="U26" s="690">
        <v>58458.82937327533</v>
      </c>
    </row>
    <row r="27" spans="3:21" x14ac:dyDescent="0.25">
      <c r="C27" s="691"/>
      <c r="D27" s="692"/>
      <c r="E27" s="692"/>
      <c r="F27" s="692"/>
      <c r="G27" s="692"/>
      <c r="H27" s="692"/>
      <c r="I27" s="692"/>
      <c r="J27" s="692"/>
      <c r="K27" s="692"/>
      <c r="L27" s="688"/>
      <c r="M27" s="688"/>
      <c r="N27" s="688"/>
      <c r="O27" s="688"/>
      <c r="P27" s="693"/>
      <c r="Q27" s="693"/>
      <c r="R27" s="693"/>
      <c r="S27" s="693"/>
      <c r="T27" s="693"/>
      <c r="U27" s="693"/>
    </row>
    <row r="28" spans="3:21" x14ac:dyDescent="0.25">
      <c r="C28" s="691">
        <v>2025</v>
      </c>
      <c r="D28" s="694">
        <v>1741983.9705882072</v>
      </c>
      <c r="E28" s="694">
        <v>1938536.4705882072</v>
      </c>
      <c r="F28" s="694">
        <v>174126.47058823705</v>
      </c>
      <c r="G28" s="694">
        <v>55308.235294118524</v>
      </c>
      <c r="H28" s="694">
        <v>0</v>
      </c>
      <c r="I28" s="694">
        <v>0</v>
      </c>
      <c r="J28" s="694">
        <v>0</v>
      </c>
      <c r="K28" s="694">
        <v>0</v>
      </c>
      <c r="L28" s="688">
        <v>10</v>
      </c>
      <c r="M28" s="688">
        <v>35</v>
      </c>
      <c r="N28" s="695">
        <v>0.38</v>
      </c>
      <c r="O28" s="695">
        <v>0.38</v>
      </c>
      <c r="P28" s="694">
        <v>1080238.970588237</v>
      </c>
      <c r="Q28" s="694">
        <v>1221894.077901423</v>
      </c>
      <c r="R28" s="696">
        <v>120638.43838532755</v>
      </c>
      <c r="S28" s="696">
        <v>78422.122177690107</v>
      </c>
      <c r="T28" s="696">
        <v>15168.748009326202</v>
      </c>
      <c r="U28" s="696">
        <v>17157.87327287571</v>
      </c>
    </row>
    <row r="29" spans="3:21" x14ac:dyDescent="0.25">
      <c r="C29" s="691">
        <v>2026</v>
      </c>
      <c r="D29" s="694">
        <v>1936861.7647058964</v>
      </c>
      <c r="E29" s="694">
        <v>2164621.7647058964</v>
      </c>
      <c r="F29" s="694">
        <v>193621.76470588148</v>
      </c>
      <c r="G29" s="694">
        <v>61770.882352940738</v>
      </c>
      <c r="H29" s="694">
        <v>0</v>
      </c>
      <c r="I29" s="694">
        <v>0</v>
      </c>
      <c r="J29" s="694">
        <v>0</v>
      </c>
      <c r="K29" s="694">
        <v>0</v>
      </c>
      <c r="L29" s="688">
        <v>10</v>
      </c>
      <c r="M29" s="688">
        <v>35</v>
      </c>
      <c r="N29" s="695">
        <v>0.38</v>
      </c>
      <c r="O29" s="695">
        <v>0.38</v>
      </c>
      <c r="P29" s="694">
        <v>1201090.8187599182</v>
      </c>
      <c r="Q29" s="694">
        <v>1361409.3799681664</v>
      </c>
      <c r="R29" s="696">
        <v>136143.63642062922</v>
      </c>
      <c r="S29" s="696">
        <v>88945.04959322924</v>
      </c>
      <c r="T29" s="696">
        <v>16940.297769162247</v>
      </c>
      <c r="U29" s="696">
        <v>19201.445820893587</v>
      </c>
    </row>
    <row r="30" spans="3:21" x14ac:dyDescent="0.25">
      <c r="C30" s="691">
        <v>2027</v>
      </c>
      <c r="D30" s="694">
        <v>2131739.5588235259</v>
      </c>
      <c r="E30" s="694">
        <v>2390707.0588235259</v>
      </c>
      <c r="F30" s="694">
        <v>213117.05882353336</v>
      </c>
      <c r="G30" s="694">
        <v>68233.529411764815</v>
      </c>
      <c r="H30" s="694">
        <v>0</v>
      </c>
      <c r="I30" s="694">
        <v>0</v>
      </c>
      <c r="J30" s="694">
        <v>0</v>
      </c>
      <c r="K30" s="694">
        <v>0</v>
      </c>
      <c r="L30" s="688">
        <v>10</v>
      </c>
      <c r="M30" s="688">
        <v>35</v>
      </c>
      <c r="N30" s="695">
        <v>0.38</v>
      </c>
      <c r="O30" s="695">
        <v>0.38</v>
      </c>
      <c r="P30" s="694">
        <v>1321942.6669316292</v>
      </c>
      <c r="Q30" s="694">
        <v>1500924.6820349693</v>
      </c>
      <c r="R30" s="696">
        <v>152097.38144655633</v>
      </c>
      <c r="S30" s="696">
        <v>99785.992072682944</v>
      </c>
      <c r="T30" s="696">
        <v>18728.489524682409</v>
      </c>
      <c r="U30" s="696">
        <v>21264.199188059829</v>
      </c>
    </row>
    <row r="31" spans="3:21" x14ac:dyDescent="0.25">
      <c r="C31" s="691">
        <v>2028</v>
      </c>
      <c r="D31" s="694">
        <v>2326617.3529411554</v>
      </c>
      <c r="E31" s="694">
        <v>2616792.3529411554</v>
      </c>
      <c r="F31" s="694">
        <v>232612.35294117779</v>
      </c>
      <c r="G31" s="694">
        <v>74696.176470588893</v>
      </c>
      <c r="H31" s="694">
        <v>0</v>
      </c>
      <c r="I31" s="694">
        <v>0</v>
      </c>
      <c r="J31" s="694">
        <v>0</v>
      </c>
      <c r="K31" s="694">
        <v>0</v>
      </c>
      <c r="L31" s="688">
        <v>10</v>
      </c>
      <c r="M31" s="688">
        <v>35</v>
      </c>
      <c r="N31" s="695">
        <v>0.38</v>
      </c>
      <c r="O31" s="695">
        <v>0.38</v>
      </c>
      <c r="P31" s="694">
        <v>1442794.5151033401</v>
      </c>
      <c r="Q31" s="694">
        <v>1640439.9841017127</v>
      </c>
      <c r="R31" s="696">
        <v>168512.76845791383</v>
      </c>
      <c r="S31" s="696">
        <v>110954.24346691986</v>
      </c>
      <c r="T31" s="696">
        <v>20533.809126969318</v>
      </c>
      <c r="U31" s="696">
        <v>23346.693631823589</v>
      </c>
    </row>
    <row r="32" spans="3:21" x14ac:dyDescent="0.25">
      <c r="C32" s="691">
        <v>2029</v>
      </c>
      <c r="D32" s="694">
        <v>2521495.147058785</v>
      </c>
      <c r="E32" s="694">
        <v>2842877.647058785</v>
      </c>
      <c r="F32" s="694">
        <v>252107.64705882221</v>
      </c>
      <c r="G32" s="694">
        <v>81158.82352941297</v>
      </c>
      <c r="H32" s="694">
        <v>0</v>
      </c>
      <c r="I32" s="694">
        <v>0</v>
      </c>
      <c r="J32" s="694">
        <v>0</v>
      </c>
      <c r="K32" s="694">
        <v>0</v>
      </c>
      <c r="L32" s="688">
        <v>10</v>
      </c>
      <c r="M32" s="688">
        <v>35</v>
      </c>
      <c r="N32" s="695">
        <v>0.38</v>
      </c>
      <c r="O32" s="695">
        <v>0.38</v>
      </c>
      <c r="P32" s="694">
        <v>1563646.3632750213</v>
      </c>
      <c r="Q32" s="694">
        <v>1779955.2861685157</v>
      </c>
      <c r="R32" s="696">
        <v>185403.23683049832</v>
      </c>
      <c r="S32" s="696">
        <v>122459.34217481519</v>
      </c>
      <c r="T32" s="696">
        <v>22356.755204350655</v>
      </c>
      <c r="U32" s="696">
        <v>25449.504147607746</v>
      </c>
    </row>
    <row r="33" spans="3:21" x14ac:dyDescent="0.25">
      <c r="C33" s="691">
        <v>2030</v>
      </c>
      <c r="D33" s="694">
        <v>2716372.9411764741</v>
      </c>
      <c r="E33" s="694">
        <v>3068962.9411764741</v>
      </c>
      <c r="F33" s="694">
        <v>271602.94117647409</v>
      </c>
      <c r="G33" s="694">
        <v>87621.470588235185</v>
      </c>
      <c r="H33" s="694">
        <v>0</v>
      </c>
      <c r="I33" s="694">
        <v>0</v>
      </c>
      <c r="J33" s="694">
        <v>0</v>
      </c>
      <c r="K33" s="694">
        <v>0</v>
      </c>
      <c r="L33" s="688">
        <v>10</v>
      </c>
      <c r="M33" s="688">
        <v>35</v>
      </c>
      <c r="N33" s="695">
        <v>0.38</v>
      </c>
      <c r="O33" s="695">
        <v>0.38</v>
      </c>
      <c r="P33" s="694">
        <v>1684498.2114467323</v>
      </c>
      <c r="Q33" s="694">
        <v>1919470.5882352591</v>
      </c>
      <c r="R33" s="696">
        <v>202782.57885834866</v>
      </c>
      <c r="S33" s="696">
        <v>134311.07720763597</v>
      </c>
      <c r="T33" s="696">
        <v>24197.839479149785</v>
      </c>
      <c r="U33" s="696">
        <v>27573.220834218009</v>
      </c>
    </row>
    <row r="34" spans="3:21" x14ac:dyDescent="0.25">
      <c r="C34" s="691">
        <v>2031</v>
      </c>
      <c r="D34" s="694">
        <v>2911250.7352941036</v>
      </c>
      <c r="E34" s="694">
        <v>3295048.2352941036</v>
      </c>
      <c r="F34" s="694">
        <v>291098.23529411852</v>
      </c>
      <c r="G34" s="694">
        <v>94084.117647059262</v>
      </c>
      <c r="H34" s="694">
        <v>0</v>
      </c>
      <c r="I34" s="694">
        <v>0</v>
      </c>
      <c r="J34" s="694">
        <v>0</v>
      </c>
      <c r="K34" s="694">
        <v>0</v>
      </c>
      <c r="L34" s="688">
        <v>10</v>
      </c>
      <c r="M34" s="688">
        <v>35</v>
      </c>
      <c r="N34" s="695">
        <v>0.38</v>
      </c>
      <c r="O34" s="695">
        <v>0.38</v>
      </c>
      <c r="P34" s="694">
        <v>1805350.0596184433</v>
      </c>
      <c r="Q34" s="694">
        <v>2058985.890302062</v>
      </c>
      <c r="R34" s="696">
        <v>220664.94849470703</v>
      </c>
      <c r="S34" s="696">
        <v>146519.49439816643</v>
      </c>
      <c r="T34" s="696">
        <v>26057.587091991667</v>
      </c>
      <c r="U34" s="696">
        <v>29718.44926798698</v>
      </c>
    </row>
    <row r="35" spans="3:21" x14ac:dyDescent="0.25">
      <c r="C35" s="691">
        <v>2032</v>
      </c>
      <c r="D35" s="694">
        <v>3106128.5294117332</v>
      </c>
      <c r="E35" s="694">
        <v>3521133.5294117332</v>
      </c>
      <c r="F35" s="694">
        <v>310593.52941176295</v>
      </c>
      <c r="G35" s="694">
        <v>100546.76470588334</v>
      </c>
      <c r="H35" s="694">
        <v>0</v>
      </c>
      <c r="I35" s="694">
        <v>0</v>
      </c>
      <c r="J35" s="694">
        <v>0</v>
      </c>
      <c r="K35" s="694">
        <v>0</v>
      </c>
      <c r="L35" s="688">
        <v>10</v>
      </c>
      <c r="M35" s="688">
        <v>35</v>
      </c>
      <c r="N35" s="695">
        <v>0.38</v>
      </c>
      <c r="O35" s="695">
        <v>0.38</v>
      </c>
      <c r="P35" s="694">
        <v>1926201.9077901244</v>
      </c>
      <c r="Q35" s="694">
        <v>2198501.1923688054</v>
      </c>
      <c r="R35" s="696">
        <v>128455.09952433777</v>
      </c>
      <c r="S35" s="696">
        <v>95744.644831826619</v>
      </c>
      <c r="T35" s="696">
        <v>18603.577604424463</v>
      </c>
      <c r="U35" s="696">
        <v>21233.489272459585</v>
      </c>
    </row>
    <row r="36" spans="3:21" x14ac:dyDescent="0.25">
      <c r="C36" s="691">
        <v>2033</v>
      </c>
      <c r="D36" s="694">
        <v>3301006.3235294223</v>
      </c>
      <c r="E36" s="694">
        <v>3747218.8235294223</v>
      </c>
      <c r="F36" s="694">
        <v>330088.82352941483</v>
      </c>
      <c r="G36" s="694">
        <v>107009.41176470555</v>
      </c>
      <c r="H36" s="694">
        <v>0</v>
      </c>
      <c r="I36" s="694">
        <v>0</v>
      </c>
      <c r="J36" s="694">
        <v>0</v>
      </c>
      <c r="K36" s="694">
        <v>0</v>
      </c>
      <c r="L36" s="688">
        <v>10</v>
      </c>
      <c r="M36" s="688">
        <v>35</v>
      </c>
      <c r="N36" s="695">
        <v>0.38</v>
      </c>
      <c r="O36" s="695">
        <v>0.38</v>
      </c>
      <c r="P36" s="694">
        <v>2047053.7559618354</v>
      </c>
      <c r="Q36" s="694">
        <v>2338016.4944356084</v>
      </c>
      <c r="R36" s="696">
        <v>138805.19419940023</v>
      </c>
      <c r="S36" s="696">
        <v>103707.22584206209</v>
      </c>
      <c r="T36" s="696">
        <v>19878.701103272026</v>
      </c>
      <c r="U36" s="696">
        <v>22704.206439155092</v>
      </c>
    </row>
    <row r="37" spans="3:21" x14ac:dyDescent="0.25">
      <c r="C37" s="691">
        <v>2034</v>
      </c>
      <c r="D37" s="694">
        <v>3495884.1176470518</v>
      </c>
      <c r="E37" s="694">
        <v>3973304.1176470518</v>
      </c>
      <c r="F37" s="694">
        <v>349584.11764705926</v>
      </c>
      <c r="G37" s="694">
        <v>113472.05882352963</v>
      </c>
      <c r="H37" s="694">
        <v>0</v>
      </c>
      <c r="I37" s="694">
        <v>0</v>
      </c>
      <c r="J37" s="694">
        <v>0</v>
      </c>
      <c r="K37" s="694">
        <v>0</v>
      </c>
      <c r="L37" s="688">
        <v>10</v>
      </c>
      <c r="M37" s="688">
        <v>35</v>
      </c>
      <c r="N37" s="695">
        <v>0.38</v>
      </c>
      <c r="O37" s="695">
        <v>0.38</v>
      </c>
      <c r="P37" s="694">
        <v>2167905.6041335464</v>
      </c>
      <c r="Q37" s="694">
        <v>2477531.7965023518</v>
      </c>
      <c r="R37" s="696">
        <v>149474.29553720952</v>
      </c>
      <c r="S37" s="696">
        <v>111927.309873862</v>
      </c>
      <c r="T37" s="696">
        <v>21168.852451348634</v>
      </c>
      <c r="U37" s="696">
        <v>24192.245706493508</v>
      </c>
    </row>
    <row r="38" spans="3:21" x14ac:dyDescent="0.25">
      <c r="C38" s="691">
        <v>2035</v>
      </c>
      <c r="D38" s="694">
        <v>3690761.9117646813</v>
      </c>
      <c r="E38" s="694">
        <v>4199389.4117646813</v>
      </c>
      <c r="F38" s="694">
        <v>369079.41176470369</v>
      </c>
      <c r="G38" s="694">
        <v>119934.70588235371</v>
      </c>
      <c r="H38" s="694">
        <v>0</v>
      </c>
      <c r="I38" s="694">
        <v>0</v>
      </c>
      <c r="J38" s="694">
        <v>0</v>
      </c>
      <c r="K38" s="694">
        <v>0</v>
      </c>
      <c r="L38" s="688">
        <v>10</v>
      </c>
      <c r="M38" s="688">
        <v>35</v>
      </c>
      <c r="N38" s="695">
        <v>0.38</v>
      </c>
      <c r="O38" s="695">
        <v>0.38</v>
      </c>
      <c r="P38" s="694">
        <v>2288757.4523052275</v>
      </c>
      <c r="Q38" s="694">
        <v>2617047.0985691547</v>
      </c>
      <c r="R38" s="696">
        <v>160471.54261591268</v>
      </c>
      <c r="S38" s="696">
        <v>120412.28091931139</v>
      </c>
      <c r="T38" s="696">
        <v>22474.462175081404</v>
      </c>
      <c r="U38" s="696">
        <v>25698.103557438568</v>
      </c>
    </row>
    <row r="39" spans="3:21" x14ac:dyDescent="0.25">
      <c r="C39" s="691">
        <v>2036</v>
      </c>
      <c r="D39" s="694">
        <v>3885639.7058823109</v>
      </c>
      <c r="E39" s="694">
        <v>4425474.7058823109</v>
      </c>
      <c r="F39" s="694">
        <v>388574.70588235557</v>
      </c>
      <c r="G39" s="694">
        <v>126397.35294117779</v>
      </c>
      <c r="H39" s="694">
        <v>0</v>
      </c>
      <c r="I39" s="694">
        <v>0</v>
      </c>
      <c r="J39" s="694">
        <v>0</v>
      </c>
      <c r="K39" s="694">
        <v>0</v>
      </c>
      <c r="L39" s="688">
        <v>10</v>
      </c>
      <c r="M39" s="688">
        <v>35</v>
      </c>
      <c r="N39" s="695">
        <v>0.38</v>
      </c>
      <c r="O39" s="695">
        <v>0.38</v>
      </c>
      <c r="P39" s="694">
        <v>2409609.3004769385</v>
      </c>
      <c r="Q39" s="694">
        <v>2756562.4006358981</v>
      </c>
      <c r="R39" s="696">
        <v>171806.31247411511</v>
      </c>
      <c r="S39" s="696">
        <v>129169.71532896857</v>
      </c>
      <c r="T39" s="696">
        <v>23795.972010815716</v>
      </c>
      <c r="U39" s="696">
        <v>27222.28940542994</v>
      </c>
    </row>
    <row r="40" spans="3:21" x14ac:dyDescent="0.25">
      <c r="C40" s="691">
        <v>2037</v>
      </c>
      <c r="D40" s="694">
        <v>4080517.5</v>
      </c>
      <c r="E40" s="694">
        <v>4651560</v>
      </c>
      <c r="F40" s="694">
        <v>408070</v>
      </c>
      <c r="G40" s="694">
        <v>132860</v>
      </c>
      <c r="H40" s="694">
        <v>0</v>
      </c>
      <c r="I40" s="694">
        <v>0</v>
      </c>
      <c r="J40" s="694">
        <v>0</v>
      </c>
      <c r="K40" s="694">
        <v>0</v>
      </c>
      <c r="L40" s="688">
        <v>10</v>
      </c>
      <c r="M40" s="688">
        <v>35</v>
      </c>
      <c r="N40" s="695">
        <v>0.38</v>
      </c>
      <c r="O40" s="695">
        <v>0.38</v>
      </c>
      <c r="P40" s="694">
        <v>2530461.1486486495</v>
      </c>
      <c r="Q40" s="694">
        <v>2896077.7027027011</v>
      </c>
      <c r="R40" s="696">
        <v>183488.22597367267</v>
      </c>
      <c r="S40" s="696">
        <v>138207.38655261029</v>
      </c>
      <c r="T40" s="696">
        <v>25133.835180999602</v>
      </c>
      <c r="U40" s="696">
        <v>28765.325913013796</v>
      </c>
    </row>
    <row r="41" spans="3:21" x14ac:dyDescent="0.25">
      <c r="C41" s="691">
        <v>2038</v>
      </c>
      <c r="D41" s="694">
        <v>4275395.2941176295</v>
      </c>
      <c r="E41" s="694">
        <v>4877645.2941176295</v>
      </c>
      <c r="F41" s="694">
        <v>427565.29411764443</v>
      </c>
      <c r="G41" s="694">
        <v>139322.64705882408</v>
      </c>
      <c r="H41" s="694">
        <v>0</v>
      </c>
      <c r="I41" s="694">
        <v>0</v>
      </c>
      <c r="J41" s="694">
        <v>0</v>
      </c>
      <c r="K41" s="694">
        <v>0</v>
      </c>
      <c r="L41" s="688">
        <v>10</v>
      </c>
      <c r="M41" s="688">
        <v>35</v>
      </c>
      <c r="N41" s="695">
        <v>0.38</v>
      </c>
      <c r="O41" s="695">
        <v>0.38</v>
      </c>
      <c r="P41" s="694">
        <v>2651312.9968203306</v>
      </c>
      <c r="Q41" s="694">
        <v>3035593.0047694445</v>
      </c>
      <c r="R41" s="696">
        <v>195527.15380179559</v>
      </c>
      <c r="S41" s="696">
        <v>147533.26999265351</v>
      </c>
      <c r="T41" s="696">
        <v>26488.516676934232</v>
      </c>
      <c r="U41" s="696">
        <v>30327.749318036964</v>
      </c>
    </row>
    <row r="42" spans="3:21" x14ac:dyDescent="0.25">
      <c r="C42" s="691">
        <v>2039</v>
      </c>
      <c r="D42" s="694">
        <v>4470273.0882352591</v>
      </c>
      <c r="E42" s="694">
        <v>5103730.5882352591</v>
      </c>
      <c r="F42" s="694">
        <v>447060.58823529631</v>
      </c>
      <c r="G42" s="694">
        <v>145785.29411764815</v>
      </c>
      <c r="H42" s="694">
        <v>0</v>
      </c>
      <c r="I42" s="694">
        <v>0</v>
      </c>
      <c r="J42" s="694">
        <v>0</v>
      </c>
      <c r="K42" s="694">
        <v>0</v>
      </c>
      <c r="L42" s="688">
        <v>10</v>
      </c>
      <c r="M42" s="688">
        <v>35</v>
      </c>
      <c r="N42" s="695">
        <v>0.38</v>
      </c>
      <c r="O42" s="695">
        <v>0.38</v>
      </c>
      <c r="P42" s="694">
        <v>2772164.8449920416</v>
      </c>
      <c r="Q42" s="694">
        <v>3175108.3068362474</v>
      </c>
      <c r="R42" s="696">
        <v>207933.22261573403</v>
      </c>
      <c r="S42" s="696">
        <v>157155.54797289154</v>
      </c>
      <c r="T42" s="696">
        <v>27860.493548239941</v>
      </c>
      <c r="U42" s="696">
        <v>31910.109767598715</v>
      </c>
    </row>
    <row r="43" spans="3:21" x14ac:dyDescent="0.25">
      <c r="C43" s="691">
        <v>2040</v>
      </c>
      <c r="D43" s="694">
        <v>4665150.8823529482</v>
      </c>
      <c r="E43" s="694">
        <v>5329815.8823529482</v>
      </c>
      <c r="F43" s="694">
        <v>466555.88235294074</v>
      </c>
      <c r="G43" s="694">
        <v>152247.94117647037</v>
      </c>
      <c r="H43" s="694">
        <v>0</v>
      </c>
      <c r="I43" s="694">
        <v>0</v>
      </c>
      <c r="J43" s="694">
        <v>0</v>
      </c>
      <c r="K43" s="694">
        <v>0</v>
      </c>
      <c r="L43" s="688">
        <v>10</v>
      </c>
      <c r="M43" s="688">
        <v>35</v>
      </c>
      <c r="N43" s="695">
        <v>0.38</v>
      </c>
      <c r="O43" s="695">
        <v>0.38</v>
      </c>
      <c r="P43" s="694">
        <v>2893016.6931637526</v>
      </c>
      <c r="Q43" s="694">
        <v>3314623.6089029908</v>
      </c>
      <c r="R43" s="696">
        <v>220716.821333297</v>
      </c>
      <c r="S43" s="696">
        <v>167082.61482518306</v>
      </c>
      <c r="T43" s="696">
        <v>29250.255199190658</v>
      </c>
      <c r="U43" s="696">
        <v>33512.971659920862</v>
      </c>
    </row>
    <row r="44" spans="3:21" x14ac:dyDescent="0.25">
      <c r="C44" s="691">
        <v>2041</v>
      </c>
      <c r="D44" s="694">
        <v>4860028.6764705777</v>
      </c>
      <c r="E44" s="694">
        <v>5555901.1764705777</v>
      </c>
      <c r="F44" s="694">
        <v>486051.17647059262</v>
      </c>
      <c r="G44" s="694">
        <v>158710.58823529445</v>
      </c>
      <c r="H44" s="694">
        <v>0</v>
      </c>
      <c r="I44" s="694">
        <v>0</v>
      </c>
      <c r="J44" s="694">
        <v>0</v>
      </c>
      <c r="K44" s="694">
        <v>0</v>
      </c>
      <c r="L44" s="688">
        <v>10</v>
      </c>
      <c r="M44" s="688">
        <v>35</v>
      </c>
      <c r="N44" s="695">
        <v>0.38</v>
      </c>
      <c r="O44" s="695">
        <v>0.38</v>
      </c>
      <c r="P44" s="694">
        <v>3013868.5413354337</v>
      </c>
      <c r="Q44" s="694">
        <v>3454138.9109697938</v>
      </c>
      <c r="R44" s="696">
        <v>233888.60757260286</v>
      </c>
      <c r="S44" s="696">
        <v>177323.08209683915</v>
      </c>
      <c r="T44" s="696">
        <v>30658.303692081143</v>
      </c>
      <c r="U44" s="696">
        <v>35136.913994338771</v>
      </c>
    </row>
    <row r="45" spans="3:21" x14ac:dyDescent="0.25">
      <c r="C45" s="691">
        <v>2042</v>
      </c>
      <c r="D45" s="694">
        <v>5054906.4705882072</v>
      </c>
      <c r="E45" s="694">
        <v>5781986.4705882072</v>
      </c>
      <c r="F45" s="694">
        <v>505546.47058823705</v>
      </c>
      <c r="G45" s="694">
        <v>165173.23529411852</v>
      </c>
      <c r="H45" s="694">
        <v>0</v>
      </c>
      <c r="I45" s="694">
        <v>0</v>
      </c>
      <c r="J45" s="694">
        <v>0</v>
      </c>
      <c r="K45" s="694">
        <v>0</v>
      </c>
      <c r="L45" s="688">
        <v>10</v>
      </c>
      <c r="M45" s="688">
        <v>35</v>
      </c>
      <c r="N45" s="695">
        <v>0.38</v>
      </c>
      <c r="O45" s="695">
        <v>0.38</v>
      </c>
      <c r="P45" s="694">
        <v>3134720.3895071447</v>
      </c>
      <c r="Q45" s="694">
        <v>3593654.2130365372</v>
      </c>
      <c r="R45" s="696">
        <v>247459.51424454188</v>
      </c>
      <c r="S45" s="696">
        <v>187885.78388152047</v>
      </c>
      <c r="T45" s="696">
        <v>32085.154057786982</v>
      </c>
      <c r="U45" s="696">
        <v>36782.530729581602</v>
      </c>
    </row>
    <row r="46" spans="3:21" x14ac:dyDescent="0.25">
      <c r="C46" s="691">
        <v>2043</v>
      </c>
      <c r="D46" s="694">
        <v>5249784.2647058964</v>
      </c>
      <c r="E46" s="694">
        <v>6008071.7647058964</v>
      </c>
      <c r="F46" s="694">
        <v>525041.76470588148</v>
      </c>
      <c r="G46" s="694">
        <v>171635.88235294074</v>
      </c>
      <c r="H46" s="694">
        <v>0</v>
      </c>
      <c r="I46" s="694">
        <v>0</v>
      </c>
      <c r="J46" s="694">
        <v>0</v>
      </c>
      <c r="K46" s="694">
        <v>0</v>
      </c>
      <c r="L46" s="688">
        <v>10</v>
      </c>
      <c r="M46" s="688">
        <v>35</v>
      </c>
      <c r="N46" s="695">
        <v>0.38</v>
      </c>
      <c r="O46" s="695">
        <v>0.38</v>
      </c>
      <c r="P46" s="694">
        <v>3255572.2376788557</v>
      </c>
      <c r="Q46" s="694">
        <v>3733169.5151033401</v>
      </c>
      <c r="R46" s="696">
        <v>261440.75630143128</v>
      </c>
      <c r="S46" s="696">
        <v>198779.7822764662</v>
      </c>
      <c r="T46" s="696">
        <v>33531.334613681094</v>
      </c>
      <c r="U46" s="696">
        <v>38450.431150553333</v>
      </c>
    </row>
    <row r="47" spans="3:21" x14ac:dyDescent="0.25">
      <c r="C47" s="691">
        <v>2044</v>
      </c>
      <c r="D47" s="694">
        <v>5444662.0588235259</v>
      </c>
      <c r="E47" s="694">
        <v>6234157.0588235259</v>
      </c>
      <c r="F47" s="694">
        <v>544537.05882353336</v>
      </c>
      <c r="G47" s="694">
        <v>178098.52941176482</v>
      </c>
      <c r="H47" s="694">
        <v>0</v>
      </c>
      <c r="I47" s="694">
        <v>0</v>
      </c>
      <c r="J47" s="694">
        <v>0</v>
      </c>
      <c r="K47" s="694">
        <v>0</v>
      </c>
      <c r="L47" s="688">
        <v>10</v>
      </c>
      <c r="M47" s="688">
        <v>35</v>
      </c>
      <c r="N47" s="695">
        <v>0.38</v>
      </c>
      <c r="O47" s="695">
        <v>0.38</v>
      </c>
      <c r="P47" s="694">
        <v>3376424.0858505368</v>
      </c>
      <c r="Q47" s="694">
        <v>3872684.8171700835</v>
      </c>
      <c r="R47" s="696">
        <v>275843.83764549909</v>
      </c>
      <c r="S47" s="696">
        <v>210014.37296899408</v>
      </c>
      <c r="T47" s="696">
        <v>34997.387289082195</v>
      </c>
      <c r="U47" s="696">
        <v>40141.240243791319</v>
      </c>
    </row>
    <row r="48" spans="3:21" x14ac:dyDescent="0.25">
      <c r="C48" s="691">
        <v>2045</v>
      </c>
      <c r="D48" s="694">
        <v>5639539.8529411554</v>
      </c>
      <c r="E48" s="694">
        <v>6460242.3529411554</v>
      </c>
      <c r="F48" s="694">
        <v>564032.35294117779</v>
      </c>
      <c r="G48" s="694">
        <v>184561.17647058889</v>
      </c>
      <c r="H48" s="694">
        <v>0</v>
      </c>
      <c r="I48" s="694">
        <v>0</v>
      </c>
      <c r="J48" s="694">
        <v>0</v>
      </c>
      <c r="K48" s="694">
        <v>0</v>
      </c>
      <c r="L48" s="688">
        <v>10</v>
      </c>
      <c r="M48" s="688">
        <v>35</v>
      </c>
      <c r="N48" s="695">
        <v>0.38</v>
      </c>
      <c r="O48" s="695">
        <v>0.38</v>
      </c>
      <c r="P48" s="694">
        <v>3497275.9340222478</v>
      </c>
      <c r="Q48" s="694">
        <v>4012200.1192368865</v>
      </c>
      <c r="R48" s="696">
        <v>290680.55820091744</v>
      </c>
      <c r="S48" s="696">
        <v>221599.09095527633</v>
      </c>
      <c r="T48" s="696">
        <v>36483.867958406612</v>
      </c>
      <c r="U48" s="696">
        <v>41855.599081822591</v>
      </c>
    </row>
    <row r="49" spans="3:21" x14ac:dyDescent="0.25">
      <c r="C49" s="691">
        <v>2046</v>
      </c>
      <c r="D49" s="694">
        <v>5834417.647058785</v>
      </c>
      <c r="E49" s="694">
        <v>6686327.647058785</v>
      </c>
      <c r="F49" s="694">
        <v>583527.64705882221</v>
      </c>
      <c r="G49" s="694">
        <v>191023.82352941297</v>
      </c>
      <c r="H49" s="694">
        <v>0</v>
      </c>
      <c r="I49" s="694">
        <v>0</v>
      </c>
      <c r="J49" s="694">
        <v>0</v>
      </c>
      <c r="K49" s="694">
        <v>0</v>
      </c>
      <c r="L49" s="688">
        <v>10</v>
      </c>
      <c r="M49" s="688">
        <v>35</v>
      </c>
      <c r="N49" s="695">
        <v>0.38</v>
      </c>
      <c r="O49" s="695">
        <v>0.38</v>
      </c>
      <c r="P49" s="694">
        <v>3618127.7821939588</v>
      </c>
      <c r="Q49" s="694">
        <v>4151715.4213036299</v>
      </c>
      <c r="R49" s="696">
        <v>305963.02115310752</v>
      </c>
      <c r="S49" s="696">
        <v>233543.71639441111</v>
      </c>
      <c r="T49" s="696">
        <v>37991.346782198554</v>
      </c>
      <c r="U49" s="696">
        <v>43594.165216603826</v>
      </c>
    </row>
    <row r="50" spans="3:21" x14ac:dyDescent="0.25">
      <c r="C50" s="691">
        <v>2047</v>
      </c>
      <c r="D50" s="694">
        <v>6029295.4411764741</v>
      </c>
      <c r="E50" s="694">
        <v>6912412.9411764741</v>
      </c>
      <c r="F50" s="694">
        <v>603022.94117647409</v>
      </c>
      <c r="G50" s="694">
        <v>197486.47058823518</v>
      </c>
      <c r="H50" s="694">
        <v>0</v>
      </c>
      <c r="I50" s="694">
        <v>0</v>
      </c>
      <c r="J50" s="694">
        <v>0</v>
      </c>
      <c r="K50" s="694">
        <v>0</v>
      </c>
      <c r="L50" s="688">
        <v>10</v>
      </c>
      <c r="M50" s="688">
        <v>35</v>
      </c>
      <c r="N50" s="695">
        <v>0.38</v>
      </c>
      <c r="O50" s="695">
        <v>0.38</v>
      </c>
      <c r="P50" s="694">
        <v>3738979.6303656399</v>
      </c>
      <c r="Q50" s="694">
        <v>4291230.7233704329</v>
      </c>
      <c r="R50" s="696">
        <v>321703.64035922557</v>
      </c>
      <c r="S50" s="696">
        <v>245858.28060094503</v>
      </c>
      <c r="T50" s="696">
        <v>39520.408556226481</v>
      </c>
      <c r="U50" s="696">
        <v>45357.613082274591</v>
      </c>
    </row>
    <row r="51" spans="3:21" x14ac:dyDescent="0.25">
      <c r="C51" s="691">
        <v>2048</v>
      </c>
      <c r="D51" s="694">
        <v>6224173.2352941036</v>
      </c>
      <c r="E51" s="694">
        <v>7138498.2352941036</v>
      </c>
      <c r="F51" s="694">
        <v>622518.23529411852</v>
      </c>
      <c r="G51" s="694">
        <v>203949.11764705926</v>
      </c>
      <c r="H51" s="694">
        <v>0</v>
      </c>
      <c r="I51" s="694">
        <v>0</v>
      </c>
      <c r="J51" s="694">
        <v>0</v>
      </c>
      <c r="K51" s="694">
        <v>0</v>
      </c>
      <c r="L51" s="688">
        <v>10</v>
      </c>
      <c r="M51" s="688">
        <v>35</v>
      </c>
      <c r="N51" s="695">
        <v>0.38</v>
      </c>
      <c r="O51" s="695">
        <v>0.38</v>
      </c>
      <c r="P51" s="694">
        <v>3859831.4785373509</v>
      </c>
      <c r="Q51" s="694">
        <v>4430746.0254371762</v>
      </c>
      <c r="R51" s="696">
        <v>337915.14793374651</v>
      </c>
      <c r="S51" s="696">
        <v>258553.07217901913</v>
      </c>
      <c r="T51" s="696">
        <v>41071.653068828695</v>
      </c>
      <c r="U51" s="696">
        <v>47146.634407418824</v>
      </c>
    </row>
    <row r="52" spans="3:21" x14ac:dyDescent="0.25">
      <c r="C52" s="691">
        <v>2049</v>
      </c>
      <c r="D52" s="694">
        <v>6419051.0294117332</v>
      </c>
      <c r="E52" s="694">
        <v>7364583.5294117332</v>
      </c>
      <c r="F52" s="694">
        <v>642013.52941176295</v>
      </c>
      <c r="G52" s="694">
        <v>210411.76470588334</v>
      </c>
      <c r="H52" s="694">
        <v>0</v>
      </c>
      <c r="I52" s="694">
        <v>0</v>
      </c>
      <c r="J52" s="694">
        <v>0</v>
      </c>
      <c r="K52" s="694">
        <v>0</v>
      </c>
      <c r="L52" s="688">
        <v>10</v>
      </c>
      <c r="M52" s="688">
        <v>35</v>
      </c>
      <c r="N52" s="695">
        <v>0.38</v>
      </c>
      <c r="O52" s="695">
        <v>0.38</v>
      </c>
      <c r="P52" s="694">
        <v>3980683.3267090619</v>
      </c>
      <c r="Q52" s="694">
        <v>4570261.3275039196</v>
      </c>
      <c r="R52" s="696">
        <v>354610.60201323166</v>
      </c>
      <c r="S52" s="696">
        <v>271638.64330143936</v>
      </c>
      <c r="T52" s="696">
        <v>42645.695466696023</v>
      </c>
      <c r="U52" s="696">
        <v>48961.938637073334</v>
      </c>
    </row>
    <row r="53" spans="3:21" x14ac:dyDescent="0.25">
      <c r="C53" s="691">
        <v>2050</v>
      </c>
      <c r="D53" s="694">
        <v>6613928.8235294223</v>
      </c>
      <c r="E53" s="694">
        <v>7590668.8235294223</v>
      </c>
      <c r="F53" s="694">
        <v>661508.82352941483</v>
      </c>
      <c r="G53" s="694">
        <v>216874.41176470555</v>
      </c>
      <c r="H53" s="694">
        <v>0</v>
      </c>
      <c r="I53" s="694">
        <v>0</v>
      </c>
      <c r="J53" s="694">
        <v>0</v>
      </c>
      <c r="K53" s="694">
        <v>0</v>
      </c>
      <c r="L53" s="688">
        <v>10</v>
      </c>
      <c r="M53" s="688">
        <v>35</v>
      </c>
      <c r="N53" s="695">
        <v>0.38</v>
      </c>
      <c r="O53" s="695">
        <v>0.38</v>
      </c>
      <c r="P53" s="694">
        <v>4101535.174880743</v>
      </c>
      <c r="Q53" s="694">
        <v>4709776.6295707226</v>
      </c>
      <c r="R53" s="696">
        <v>371803.39470435813</v>
      </c>
      <c r="S53" s="696">
        <v>285125.81613697577</v>
      </c>
      <c r="T53" s="696">
        <v>44243.166629291467</v>
      </c>
      <c r="U53" s="696">
        <v>50804.253364692653</v>
      </c>
    </row>
    <row r="54" spans="3:21" x14ac:dyDescent="0.25">
      <c r="C54" s="691">
        <v>2051</v>
      </c>
      <c r="D54" s="694">
        <v>6808806.6176470518</v>
      </c>
      <c r="E54" s="694">
        <v>7816754.1176470518</v>
      </c>
      <c r="F54" s="694">
        <v>681004.11764705926</v>
      </c>
      <c r="G54" s="694">
        <v>223337.05882352963</v>
      </c>
      <c r="H54" s="694">
        <v>0</v>
      </c>
      <c r="I54" s="694">
        <v>0</v>
      </c>
      <c r="J54" s="694">
        <v>0</v>
      </c>
      <c r="K54" s="694">
        <v>0</v>
      </c>
      <c r="L54" s="688">
        <v>10</v>
      </c>
      <c r="M54" s="688">
        <v>35</v>
      </c>
      <c r="N54" s="695">
        <v>0.38</v>
      </c>
      <c r="O54" s="695">
        <v>0.38</v>
      </c>
      <c r="P54" s="694">
        <v>4222387.023052454</v>
      </c>
      <c r="Q54" s="694">
        <v>4849291.931637466</v>
      </c>
      <c r="R54" s="696">
        <v>389507.26021945738</v>
      </c>
      <c r="S54" s="696">
        <v>299025.68942932429</v>
      </c>
      <c r="T54" s="696">
        <v>45864.713552103436</v>
      </c>
      <c r="U54" s="696">
        <v>52674.3247743057</v>
      </c>
    </row>
    <row r="55" spans="3:21" x14ac:dyDescent="0.25">
      <c r="C55" s="691">
        <v>2052</v>
      </c>
      <c r="D55" s="694">
        <v>7003684.4117646813</v>
      </c>
      <c r="E55" s="694">
        <v>8042839.4117646813</v>
      </c>
      <c r="F55" s="694">
        <v>700499.41176470369</v>
      </c>
      <c r="G55" s="694">
        <v>229799.70588235371</v>
      </c>
      <c r="H55" s="694">
        <v>0</v>
      </c>
      <c r="I55" s="694">
        <v>0</v>
      </c>
      <c r="J55" s="694">
        <v>0</v>
      </c>
      <c r="K55" s="694">
        <v>0</v>
      </c>
      <c r="L55" s="688">
        <v>10</v>
      </c>
      <c r="M55" s="688">
        <v>35</v>
      </c>
      <c r="N55" s="695">
        <v>0.38</v>
      </c>
      <c r="O55" s="695">
        <v>0.38</v>
      </c>
      <c r="P55" s="694">
        <v>4343238.871224165</v>
      </c>
      <c r="Q55" s="694">
        <v>4988807.2337042689</v>
      </c>
      <c r="R55" s="696">
        <v>407736.28320392035</v>
      </c>
      <c r="S55" s="696">
        <v>313349.6452312505</v>
      </c>
      <c r="T55" s="696">
        <v>47510.999738933016</v>
      </c>
      <c r="U55" s="696">
        <v>54572.918093106025</v>
      </c>
    </row>
    <row r="56" spans="3:21" x14ac:dyDescent="0.25">
      <c r="C56" s="691">
        <v>2053</v>
      </c>
      <c r="D56" s="694">
        <v>7198562.2058823109</v>
      </c>
      <c r="E56" s="694">
        <v>8268924.7058823109</v>
      </c>
      <c r="F56" s="694">
        <v>719994.70588235557</v>
      </c>
      <c r="G56" s="694">
        <v>236262.35294117779</v>
      </c>
      <c r="H56" s="694">
        <v>0</v>
      </c>
      <c r="I56" s="694">
        <v>0</v>
      </c>
      <c r="J56" s="694">
        <v>0</v>
      </c>
      <c r="K56" s="694">
        <v>0</v>
      </c>
      <c r="L56" s="688">
        <v>10</v>
      </c>
      <c r="M56" s="688">
        <v>35</v>
      </c>
      <c r="N56" s="695">
        <v>0.38</v>
      </c>
      <c r="O56" s="695">
        <v>0.38</v>
      </c>
      <c r="P56" s="694">
        <v>4464090.7193958461</v>
      </c>
      <c r="Q56" s="694">
        <v>5128322.5357710123</v>
      </c>
      <c r="R56" s="696">
        <v>426504.90725981991</v>
      </c>
      <c r="S56" s="696">
        <v>328109.35579744552</v>
      </c>
      <c r="T56" s="696">
        <v>49182.705603429189</v>
      </c>
      <c r="U56" s="696">
        <v>56500.81805469947</v>
      </c>
    </row>
    <row r="57" spans="3:21" x14ac:dyDescent="0.25">
      <c r="C57" s="691">
        <v>2054</v>
      </c>
      <c r="D57" s="694">
        <v>7393440</v>
      </c>
      <c r="E57" s="694">
        <v>8495010</v>
      </c>
      <c r="F57" s="694">
        <v>739490</v>
      </c>
      <c r="G57" s="694">
        <v>242725</v>
      </c>
      <c r="H57" s="694">
        <v>0</v>
      </c>
      <c r="I57" s="694">
        <v>0</v>
      </c>
      <c r="J57" s="694">
        <v>0</v>
      </c>
      <c r="K57" s="694">
        <v>0</v>
      </c>
      <c r="L57" s="688">
        <v>10</v>
      </c>
      <c r="M57" s="688">
        <v>35</v>
      </c>
      <c r="N57" s="695">
        <v>0.38</v>
      </c>
      <c r="O57" s="695">
        <v>0.38</v>
      </c>
      <c r="P57" s="694">
        <v>4584942.5675675571</v>
      </c>
      <c r="Q57" s="694">
        <v>5267837.8378378153</v>
      </c>
      <c r="R57" s="696">
        <v>445827.94367032836</v>
      </c>
      <c r="S57" s="696">
        <v>343316.79063978657</v>
      </c>
      <c r="T57" s="696">
        <v>50880.528880082362</v>
      </c>
      <c r="U57" s="696">
        <v>58458.829373275083</v>
      </c>
    </row>
    <row r="58" spans="3:21" x14ac:dyDescent="0.25">
      <c r="C58" s="691"/>
      <c r="D58" s="693"/>
      <c r="E58" s="693"/>
      <c r="F58" s="693"/>
      <c r="G58" s="693"/>
      <c r="H58" s="693"/>
      <c r="I58" s="693"/>
      <c r="J58" s="693"/>
      <c r="K58" s="693"/>
      <c r="L58" s="692"/>
      <c r="M58" s="692"/>
      <c r="N58" s="693"/>
      <c r="O58" s="693"/>
      <c r="P58" s="692"/>
      <c r="Q58" s="692"/>
      <c r="R58" s="692"/>
      <c r="S58" s="692"/>
      <c r="T58" s="692"/>
      <c r="U58" s="692"/>
    </row>
    <row r="59" spans="3:21" x14ac:dyDescent="0.25">
      <c r="C59" s="697" t="s">
        <v>33</v>
      </c>
      <c r="D59" s="698"/>
      <c r="E59" s="699"/>
      <c r="F59" s="699"/>
      <c r="G59" s="699"/>
      <c r="H59" s="699"/>
      <c r="I59" s="699"/>
      <c r="J59" s="699"/>
      <c r="K59" s="699"/>
      <c r="L59" s="699"/>
      <c r="M59" s="699"/>
      <c r="N59" s="699"/>
      <c r="O59" s="699"/>
      <c r="P59" s="699"/>
      <c r="Q59" s="699"/>
      <c r="R59" s="699"/>
      <c r="S59" s="700"/>
      <c r="T59" s="699"/>
      <c r="U59" s="700"/>
    </row>
    <row r="61" spans="3:21" ht="18" x14ac:dyDescent="0.25">
      <c r="C61" s="701" t="s">
        <v>498</v>
      </c>
    </row>
    <row r="63" spans="3:21" x14ac:dyDescent="0.25">
      <c r="C63" s="360"/>
      <c r="D63" s="455">
        <v>1</v>
      </c>
      <c r="F63" s="457" t="s">
        <v>421</v>
      </c>
      <c r="G63" s="457"/>
    </row>
    <row r="64" spans="3:21" x14ac:dyDescent="0.25">
      <c r="C64" s="368"/>
      <c r="D64" s="793" t="str">
        <f>IF(ISBLANK(INDEX(ModelGroup,D63,1)),"Not Used",INDEX(ModelGroup,D63,1))</f>
        <v>Avion/Jurupa</v>
      </c>
      <c r="F64" s="385" t="s">
        <v>427</v>
      </c>
      <c r="G64" s="385"/>
    </row>
    <row r="65" spans="3:7" x14ac:dyDescent="0.25">
      <c r="C65" s="379" t="s">
        <v>31</v>
      </c>
      <c r="D65" s="794"/>
      <c r="F65" s="385" t="s">
        <v>499</v>
      </c>
      <c r="G65" s="385" t="s">
        <v>420</v>
      </c>
    </row>
    <row r="66" spans="3:7" x14ac:dyDescent="0.25">
      <c r="C66" s="388"/>
      <c r="D66" s="795"/>
      <c r="F66" s="393" t="s">
        <v>17</v>
      </c>
      <c r="G66" s="393" t="s">
        <v>424</v>
      </c>
    </row>
    <row r="67" spans="3:7" x14ac:dyDescent="0.25">
      <c r="C67" s="432">
        <v>2025</v>
      </c>
      <c r="D67" s="460">
        <v>28681.431182585271</v>
      </c>
      <c r="F67" s="407">
        <v>28681.431182585271</v>
      </c>
      <c r="G67" s="407">
        <v>40227.190944087924</v>
      </c>
    </row>
    <row r="68" spans="3:7" x14ac:dyDescent="0.25">
      <c r="C68" s="432">
        <v>2026</v>
      </c>
      <c r="D68" s="460">
        <v>29943.712886397429</v>
      </c>
      <c r="F68" s="407">
        <v>29943.712886397429</v>
      </c>
      <c r="G68" s="407">
        <v>44937.438775668648</v>
      </c>
    </row>
    <row r="69" spans="3:7" x14ac:dyDescent="0.25">
      <c r="C69" s="432">
        <v>2027</v>
      </c>
      <c r="D69" s="460">
        <v>30997.791691841434</v>
      </c>
      <c r="F69" s="407">
        <v>30997.791691841434</v>
      </c>
      <c r="G69" s="407">
        <v>49775.679710495955</v>
      </c>
    </row>
    <row r="70" spans="3:7" x14ac:dyDescent="0.25">
      <c r="C70" s="432">
        <v>2028</v>
      </c>
      <c r="D70" s="460">
        <v>31862.461198177676</v>
      </c>
      <c r="F70" s="407">
        <v>31862.461198177676</v>
      </c>
      <c r="G70" s="407">
        <v>54745.640486139688</v>
      </c>
    </row>
    <row r="71" spans="3:7" x14ac:dyDescent="0.25">
      <c r="C71" s="432">
        <v>2029</v>
      </c>
      <c r="D71" s="460">
        <v>32555.057685309082</v>
      </c>
      <c r="F71" s="407">
        <v>32555.057685309082</v>
      </c>
      <c r="G71" s="407">
        <v>59851.145712426049</v>
      </c>
    </row>
    <row r="72" spans="3:7" x14ac:dyDescent="0.25">
      <c r="C72" s="432">
        <v>2030</v>
      </c>
      <c r="D72" s="460">
        <v>33091.566673007292</v>
      </c>
      <c r="F72" s="407">
        <v>33091.566673007292</v>
      </c>
      <c r="G72" s="407">
        <v>65096.120295644447</v>
      </c>
    </row>
    <row r="73" spans="3:7" x14ac:dyDescent="0.25">
      <c r="C73" s="432">
        <v>2031</v>
      </c>
      <c r="D73" s="460">
        <v>33486.721877769764</v>
      </c>
      <c r="F73" s="407">
        <v>33486.721877769764</v>
      </c>
      <c r="G73" s="407">
        <v>70484.591920545296</v>
      </c>
    </row>
    <row r="74" spans="3:7" x14ac:dyDescent="0.25">
      <c r="C74" s="432">
        <v>2032</v>
      </c>
      <c r="D74" s="460">
        <v>13356.120843322837</v>
      </c>
      <c r="F74" s="407">
        <v>13356.120843322837</v>
      </c>
      <c r="G74" s="407">
        <v>30080.543024476032</v>
      </c>
    </row>
    <row r="75" spans="3:7" x14ac:dyDescent="0.25">
      <c r="C75" s="432">
        <v>2033</v>
      </c>
      <c r="D75" s="460">
        <v>13391.92479970135</v>
      </c>
      <c r="F75" s="407">
        <v>13391.92479970135</v>
      </c>
      <c r="G75" s="407">
        <v>32272.463021455071</v>
      </c>
    </row>
    <row r="76" spans="3:7" x14ac:dyDescent="0.25">
      <c r="C76" s="432">
        <v>2034</v>
      </c>
      <c r="D76" s="460">
        <v>13388.844357755814</v>
      </c>
      <c r="F76" s="407">
        <v>13388.844357755814</v>
      </c>
      <c r="G76" s="407">
        <v>34523.592408202647</v>
      </c>
    </row>
    <row r="77" spans="3:7" x14ac:dyDescent="0.25">
      <c r="C77" s="432">
        <v>2035</v>
      </c>
      <c r="D77" s="460">
        <v>13350.923963955029</v>
      </c>
      <c r="F77" s="407">
        <v>13350.923963955029</v>
      </c>
      <c r="G77" s="407">
        <v>36835.620314244123</v>
      </c>
    </row>
    <row r="78" spans="3:7" x14ac:dyDescent="0.25">
      <c r="C78" s="432">
        <v>2036</v>
      </c>
      <c r="D78" s="460">
        <v>13281.878340788653</v>
      </c>
      <c r="F78" s="407">
        <v>13281.878340788653</v>
      </c>
      <c r="G78" s="407">
        <v>39210.279750532325</v>
      </c>
    </row>
    <row r="79" spans="3:7" x14ac:dyDescent="0.25">
      <c r="C79" s="432">
        <v>2037</v>
      </c>
      <c r="D79" s="460">
        <v>13185.11717446261</v>
      </c>
      <c r="F79" s="407">
        <v>13185.11717446261</v>
      </c>
      <c r="G79" s="407">
        <v>41649.348689048173</v>
      </c>
    </row>
    <row r="80" spans="3:7" x14ac:dyDescent="0.25">
      <c r="C80" s="432">
        <v>2038</v>
      </c>
      <c r="D80" s="460">
        <v>13063.768018390158</v>
      </c>
      <c r="F80" s="407">
        <v>13063.768018390158</v>
      </c>
      <c r="G80" s="407">
        <v>44154.65116803936</v>
      </c>
    </row>
    <row r="81" spans="3:7" x14ac:dyDescent="0.25">
      <c r="C81" s="432">
        <v>2039</v>
      </c>
      <c r="D81" s="460">
        <v>12920.697539510598</v>
      </c>
      <c r="F81" s="407">
        <v>12920.697539510598</v>
      </c>
      <c r="G81" s="407">
        <v>46728.058423483715</v>
      </c>
    </row>
    <row r="82" spans="3:7" x14ac:dyDescent="0.25">
      <c r="C82" s="432">
        <v>2040</v>
      </c>
      <c r="D82" s="460">
        <v>12758.531225479748</v>
      </c>
      <c r="F82" s="407">
        <v>12758.531225479748</v>
      </c>
      <c r="G82" s="407">
        <v>49371.490047383733</v>
      </c>
    </row>
    <row r="83" spans="3:7" x14ac:dyDescent="0.25">
      <c r="C83" s="432">
        <v>2041</v>
      </c>
      <c r="D83" s="460">
        <v>12579.671662418697</v>
      </c>
      <c r="F83" s="407">
        <v>12579.671662418697</v>
      </c>
      <c r="G83" s="407">
        <v>52086.915173506073</v>
      </c>
    </row>
    <row r="84" spans="3:7" x14ac:dyDescent="0.25">
      <c r="C84" s="432">
        <v>2042</v>
      </c>
      <c r="D84" s="460">
        <v>12386.315485149782</v>
      </c>
      <c r="F84" s="407">
        <v>12386.315485149782</v>
      </c>
      <c r="G84" s="407">
        <v>54876.353691226774</v>
      </c>
    </row>
    <row r="85" spans="3:7" x14ac:dyDescent="0.25">
      <c r="C85" s="432">
        <v>2043</v>
      </c>
      <c r="D85" s="460">
        <v>12180.469094614244</v>
      </c>
      <c r="F85" s="407">
        <v>12180.469094614244</v>
      </c>
      <c r="G85" s="407">
        <v>57741.87748809281</v>
      </c>
    </row>
    <row r="86" spans="3:7" x14ac:dyDescent="0.25">
      <c r="C86" s="432">
        <v>2044</v>
      </c>
      <c r="D86" s="460">
        <v>11963.963230477122</v>
      </c>
      <c r="F86" s="407">
        <v>11963.963230477122</v>
      </c>
      <c r="G86" s="407">
        <v>60685.611721795925</v>
      </c>
    </row>
    <row r="87" spans="3:7" x14ac:dyDescent="0.25">
      <c r="C87" s="432">
        <v>2045</v>
      </c>
      <c r="D87" s="460">
        <v>11738.466480678895</v>
      </c>
      <c r="F87" s="407">
        <v>11738.466480678895</v>
      </c>
      <c r="G87" s="407">
        <v>63709.73612222512</v>
      </c>
    </row>
    <row r="88" spans="3:7" x14ac:dyDescent="0.25">
      <c r="C88" s="432">
        <v>2046</v>
      </c>
      <c r="D88" s="460">
        <v>11505.497803903369</v>
      </c>
      <c r="F88" s="407">
        <v>11505.497803903369</v>
      </c>
      <c r="G88" s="407">
        <v>66816.486324291094</v>
      </c>
    </row>
    <row r="89" spans="3:7" x14ac:dyDescent="0.25">
      <c r="C89" s="432">
        <v>2047</v>
      </c>
      <c r="D89" s="460">
        <v>11266.438135547291</v>
      </c>
      <c r="F89" s="407">
        <v>11266.438135547291</v>
      </c>
      <c r="G89" s="407">
        <v>70008.155232232413</v>
      </c>
    </row>
    <row r="90" spans="3:7" x14ac:dyDescent="0.25">
      <c r="C90" s="432">
        <v>2048</v>
      </c>
      <c r="D90" s="460">
        <v>11022.541142774588</v>
      </c>
      <c r="F90" s="407">
        <v>11022.541142774588</v>
      </c>
      <c r="G90" s="407">
        <v>73287.094416137261</v>
      </c>
    </row>
    <row r="91" spans="3:7" x14ac:dyDescent="0.25">
      <c r="C91" s="432">
        <v>2049</v>
      </c>
      <c r="D91" s="460">
        <v>10774.943189584828</v>
      </c>
      <c r="F91" s="407">
        <v>10774.943189584828</v>
      </c>
      <c r="G91" s="407">
        <v>76655.715541414975</v>
      </c>
    </row>
    <row r="92" spans="3:7" x14ac:dyDescent="0.25">
      <c r="C92" s="432">
        <v>2050</v>
      </c>
      <c r="D92" s="460">
        <v>10524.672568506609</v>
      </c>
      <c r="F92" s="407">
        <v>10524.672568506609</v>
      </c>
      <c r="G92" s="407">
        <v>80116.49183198117</v>
      </c>
    </row>
    <row r="93" spans="3:7" x14ac:dyDescent="0.25">
      <c r="C93" s="432">
        <v>2051</v>
      </c>
      <c r="D93" s="460">
        <v>10272.65805150885</v>
      </c>
      <c r="F93" s="407">
        <v>10272.65805150885</v>
      </c>
      <c r="G93" s="407">
        <v>83671.95956793084</v>
      </c>
    </row>
    <row r="94" spans="3:7" x14ac:dyDescent="0.25">
      <c r="C94" s="432">
        <v>2052</v>
      </c>
      <c r="D94" s="460">
        <v>10019.73680899186</v>
      </c>
      <c r="F94" s="407">
        <v>10019.73680899186</v>
      </c>
      <c r="G94" s="407">
        <v>87324.719618496834</v>
      </c>
    </row>
    <row r="95" spans="3:7" x14ac:dyDescent="0.25">
      <c r="C95" s="432">
        <v>2053</v>
      </c>
      <c r="D95" s="460">
        <v>9766.6617422504532</v>
      </c>
      <c r="F95" s="407">
        <v>9766.6617422504532</v>
      </c>
      <c r="G95" s="407">
        <v>91077.439011104128</v>
      </c>
    </row>
    <row r="96" spans="3:7" x14ac:dyDescent="0.25">
      <c r="C96" s="432">
        <v>2054</v>
      </c>
      <c r="D96" s="460">
        <v>9514.1082715786797</v>
      </c>
      <c r="F96" s="407">
        <v>9514.1082715786797</v>
      </c>
      <c r="G96" s="407">
        <v>94932.852537349041</v>
      </c>
    </row>
    <row r="97" spans="3:7" x14ac:dyDescent="0.25">
      <c r="C97" s="422"/>
      <c r="D97" s="429"/>
      <c r="F97" s="429"/>
      <c r="G97" s="429"/>
    </row>
    <row r="98" spans="3:7" x14ac:dyDescent="0.25">
      <c r="C98" s="449" t="s">
        <v>33</v>
      </c>
      <c r="D98" s="462">
        <v>494832.69312643999</v>
      </c>
      <c r="F98" s="452">
        <v>494832.69312643999</v>
      </c>
      <c r="G98" s="452">
        <v>1752935.2629696578</v>
      </c>
    </row>
  </sheetData>
  <mergeCells count="3">
    <mergeCell ref="D1:P1"/>
    <mergeCell ref="R20:U20"/>
    <mergeCell ref="D64:D6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O111"/>
  <sheetViews>
    <sheetView workbookViewId="0">
      <selection activeCell="D6" sqref="D6"/>
    </sheetView>
    <sheetView tabSelected="1" topLeftCell="A82" workbookViewId="1">
      <selection activeCell="K109" sqref="K109"/>
    </sheetView>
  </sheetViews>
  <sheetFormatPr defaultRowHeight="15.75" x14ac:dyDescent="0.25"/>
  <cols>
    <col min="2" max="2" width="10.875" customWidth="1"/>
    <col min="3" max="3" width="22.25" customWidth="1"/>
    <col min="4" max="6" width="19" customWidth="1"/>
    <col min="7" max="8" width="12" customWidth="1"/>
    <col min="9" max="9" width="13.125" customWidth="1"/>
    <col min="10" max="10" width="12" customWidth="1"/>
    <col min="11" max="11" width="13.875" customWidth="1"/>
    <col min="12" max="12" width="13.25" customWidth="1"/>
    <col min="13" max="16" width="12.875" customWidth="1"/>
    <col min="17" max="18" width="12.125" customWidth="1"/>
  </cols>
  <sheetData>
    <row r="1" spans="1:13" x14ac:dyDescent="0.25">
      <c r="E1" s="792" t="s">
        <v>38</v>
      </c>
      <c r="F1" s="792"/>
      <c r="G1" s="792"/>
      <c r="H1" s="792"/>
      <c r="I1" s="792"/>
      <c r="J1" s="792"/>
      <c r="K1" s="792"/>
      <c r="L1" s="792"/>
      <c r="M1" s="792"/>
    </row>
    <row r="2" spans="1:13" ht="15.75" customHeight="1" x14ac:dyDescent="0.25">
      <c r="C2" s="26" t="s">
        <v>34</v>
      </c>
      <c r="D2" s="27">
        <v>2020</v>
      </c>
    </row>
    <row r="3" spans="1:13" ht="15.75" customHeight="1" x14ac:dyDescent="0.25">
      <c r="C3" s="282" t="s">
        <v>384</v>
      </c>
      <c r="D3" s="274"/>
    </row>
    <row r="4" spans="1:13" ht="15.75" customHeight="1" thickBot="1" x14ac:dyDescent="0.3">
      <c r="C4" s="282"/>
      <c r="D4" s="274"/>
    </row>
    <row r="5" spans="1:13" ht="31.5" x14ac:dyDescent="0.25">
      <c r="C5" s="287"/>
      <c r="D5" s="277" t="s">
        <v>16</v>
      </c>
      <c r="E5" s="283" t="s">
        <v>35</v>
      </c>
      <c r="F5" s="74" t="s">
        <v>36</v>
      </c>
    </row>
    <row r="6" spans="1:13" ht="16.5" thickBot="1" x14ac:dyDescent="0.3">
      <c r="C6" s="288" t="s">
        <v>325</v>
      </c>
      <c r="D6" s="286">
        <f>1000000*Notes!C56</f>
        <v>607613338.97909701</v>
      </c>
      <c r="E6" s="284">
        <f>1000000*Notes!D56</f>
        <v>153052679.16338867</v>
      </c>
      <c r="F6" s="285">
        <f>1000000*Notes!E56</f>
        <v>319973660.79866654</v>
      </c>
    </row>
    <row r="10" spans="1:13" x14ac:dyDescent="0.25">
      <c r="B10" t="s">
        <v>306</v>
      </c>
    </row>
    <row r="11" spans="1:13" x14ac:dyDescent="0.25">
      <c r="B11" t="s">
        <v>310</v>
      </c>
      <c r="C11" t="s">
        <v>309</v>
      </c>
      <c r="D11" t="s">
        <v>307</v>
      </c>
      <c r="E11" t="s">
        <v>308</v>
      </c>
      <c r="F11" t="s">
        <v>39</v>
      </c>
      <c r="G11" t="s">
        <v>311</v>
      </c>
    </row>
    <row r="12" spans="1:13" x14ac:dyDescent="0.25">
      <c r="A12" t="s">
        <v>312</v>
      </c>
      <c r="B12" s="272">
        <f>'Demand Analysis'!F18</f>
        <v>2102.8958333333335</v>
      </c>
      <c r="C12" s="272">
        <f>'Demand Analysis'!F18*365*3</f>
        <v>2302670.9375</v>
      </c>
      <c r="D12" s="264">
        <v>1</v>
      </c>
      <c r="E12" s="264">
        <v>3</v>
      </c>
      <c r="F12" s="264">
        <v>4</v>
      </c>
      <c r="G12" s="273">
        <f>D12*1000000/$C12</f>
        <v>0.43427829122892209</v>
      </c>
      <c r="H12" s="273">
        <f>E12*1000000/$C12</f>
        <v>1.3028348736867661</v>
      </c>
      <c r="I12" s="273">
        <f>F12*1000000/$C12</f>
        <v>1.7371131649156883</v>
      </c>
    </row>
    <row r="13" spans="1:13" x14ac:dyDescent="0.25">
      <c r="A13" t="s">
        <v>313</v>
      </c>
      <c r="B13" s="272">
        <f>'Demand Analysis'!F21</f>
        <v>2214.4063352272728</v>
      </c>
    </row>
    <row r="14" spans="1:13" x14ac:dyDescent="0.25">
      <c r="A14" t="s">
        <v>314</v>
      </c>
      <c r="B14" s="272">
        <f>'Demand Analysis'!G18</f>
        <v>13075</v>
      </c>
    </row>
    <row r="15" spans="1:13" x14ac:dyDescent="0.25">
      <c r="A15" t="s">
        <v>315</v>
      </c>
      <c r="B15" s="272">
        <f>'Demand Analysis'!H18</f>
        <v>14404.291666666666</v>
      </c>
    </row>
    <row r="17" spans="2:12" ht="18.75" x14ac:dyDescent="0.25">
      <c r="B17" s="523" t="s">
        <v>500</v>
      </c>
      <c r="C17" s="456"/>
      <c r="D17" s="366"/>
      <c r="E17" s="366"/>
      <c r="F17" s="366"/>
      <c r="G17" s="524"/>
      <c r="H17" s="524"/>
      <c r="I17" s="524"/>
      <c r="J17" s="366"/>
      <c r="K17" s="366"/>
      <c r="L17" s="366"/>
    </row>
    <row r="18" spans="2:12" ht="18.75" x14ac:dyDescent="0.25">
      <c r="B18" s="523"/>
      <c r="C18" s="456"/>
      <c r="D18" s="366"/>
      <c r="E18" s="366"/>
      <c r="F18" s="366"/>
      <c r="G18" s="524"/>
      <c r="H18" s="524"/>
      <c r="I18" s="524"/>
      <c r="J18" s="366"/>
      <c r="K18" s="366"/>
      <c r="L18" s="366"/>
    </row>
    <row r="19" spans="2:12" x14ac:dyDescent="0.25">
      <c r="B19" s="456"/>
      <c r="C19" s="456"/>
      <c r="D19" s="456"/>
      <c r="E19" s="456"/>
      <c r="F19" s="456"/>
      <c r="G19" s="456"/>
      <c r="H19" s="456"/>
      <c r="I19" s="456"/>
      <c r="J19" s="456"/>
      <c r="K19" s="456"/>
      <c r="L19" s="456"/>
    </row>
    <row r="20" spans="2:12" ht="18.75" x14ac:dyDescent="0.25">
      <c r="B20" s="327" t="s">
        <v>385</v>
      </c>
      <c r="C20" s="328"/>
      <c r="D20" s="329"/>
      <c r="E20" s="329"/>
      <c r="F20" s="329"/>
      <c r="G20" s="330"/>
      <c r="H20" s="330"/>
      <c r="I20" s="330"/>
      <c r="J20" s="329"/>
      <c r="K20" s="329"/>
      <c r="L20" s="331"/>
    </row>
    <row r="21" spans="2:12" x14ac:dyDescent="0.25">
      <c r="B21" s="332"/>
      <c r="C21" s="333"/>
      <c r="D21" s="334"/>
      <c r="E21" s="334"/>
      <c r="F21" s="334"/>
      <c r="G21" s="335"/>
      <c r="H21" s="335"/>
      <c r="I21" s="335"/>
      <c r="J21" s="334"/>
      <c r="K21" s="334"/>
      <c r="L21" s="340"/>
    </row>
    <row r="22" spans="2:12" x14ac:dyDescent="0.25">
      <c r="B22" s="341" t="s">
        <v>441</v>
      </c>
      <c r="C22" s="338"/>
      <c r="D22" s="342"/>
      <c r="E22" s="342"/>
      <c r="F22" s="343"/>
      <c r="G22" s="333"/>
      <c r="H22" s="336" t="s">
        <v>501</v>
      </c>
      <c r="I22" s="338"/>
      <c r="J22" s="338"/>
      <c r="K22" s="337"/>
      <c r="L22" s="340"/>
    </row>
    <row r="23" spans="2:12" x14ac:dyDescent="0.25">
      <c r="B23" s="347" t="s">
        <v>444</v>
      </c>
      <c r="C23" s="333"/>
      <c r="D23" s="348" t="s">
        <v>445</v>
      </c>
      <c r="E23" s="348" t="s">
        <v>446</v>
      </c>
      <c r="F23" s="334"/>
      <c r="G23" s="334"/>
      <c r="H23" s="528" t="s">
        <v>502</v>
      </c>
      <c r="I23" s="345" t="s">
        <v>444</v>
      </c>
      <c r="J23" s="345" t="s">
        <v>503</v>
      </c>
      <c r="K23" s="345" t="s">
        <v>504</v>
      </c>
      <c r="L23" s="340"/>
    </row>
    <row r="24" spans="2:12" x14ac:dyDescent="0.25">
      <c r="B24" s="347"/>
      <c r="C24" s="333"/>
      <c r="D24" s="348"/>
      <c r="E24" s="348"/>
      <c r="F24" s="334"/>
      <c r="G24" s="334"/>
      <c r="H24" s="528"/>
      <c r="I24" s="530"/>
      <c r="J24" s="530"/>
      <c r="K24" s="334"/>
      <c r="L24" s="340"/>
    </row>
    <row r="25" spans="2:12" x14ac:dyDescent="0.25">
      <c r="B25" s="341" t="s">
        <v>505</v>
      </c>
      <c r="C25" s="338"/>
      <c r="D25" s="342"/>
      <c r="E25" s="342"/>
      <c r="F25" s="339"/>
      <c r="G25" s="334"/>
      <c r="H25" s="349" t="s">
        <v>506</v>
      </c>
      <c r="I25" s="338"/>
      <c r="J25" s="702"/>
      <c r="K25" s="337"/>
      <c r="L25" s="340"/>
    </row>
    <row r="26" spans="2:12" x14ac:dyDescent="0.25">
      <c r="B26" s="703" t="s">
        <v>502</v>
      </c>
      <c r="C26" s="333"/>
      <c r="D26" s="348" t="s">
        <v>507</v>
      </c>
      <c r="E26" s="345" t="s">
        <v>503</v>
      </c>
      <c r="F26" s="345" t="s">
        <v>504</v>
      </c>
      <c r="G26" s="334"/>
      <c r="H26" s="528" t="s">
        <v>502</v>
      </c>
      <c r="I26" s="345" t="s">
        <v>444</v>
      </c>
      <c r="J26" s="345" t="s">
        <v>503</v>
      </c>
      <c r="K26" s="345" t="s">
        <v>504</v>
      </c>
      <c r="L26" s="340"/>
    </row>
    <row r="27" spans="2:12" x14ac:dyDescent="0.25">
      <c r="B27" s="350"/>
      <c r="C27" s="334"/>
      <c r="D27" s="334"/>
      <c r="E27" s="334"/>
      <c r="F27" s="334"/>
      <c r="G27" s="334"/>
      <c r="H27" s="333"/>
      <c r="I27" s="333"/>
      <c r="J27" s="704"/>
      <c r="K27" s="334"/>
      <c r="L27" s="340"/>
    </row>
    <row r="28" spans="2:12" x14ac:dyDescent="0.25">
      <c r="B28" s="341" t="s">
        <v>508</v>
      </c>
      <c r="C28" s="338"/>
      <c r="D28" s="342"/>
      <c r="E28" s="342"/>
      <c r="F28" s="339"/>
      <c r="G28" s="334"/>
      <c r="H28" s="349" t="s">
        <v>509</v>
      </c>
      <c r="I28" s="338"/>
      <c r="J28" s="702"/>
      <c r="K28" s="337"/>
      <c r="L28" s="340"/>
    </row>
    <row r="29" spans="2:12" x14ac:dyDescent="0.25">
      <c r="B29" s="347" t="s">
        <v>488</v>
      </c>
      <c r="C29" s="333"/>
      <c r="D29" s="530" t="s">
        <v>502</v>
      </c>
      <c r="E29" s="530" t="s">
        <v>510</v>
      </c>
      <c r="F29" s="705"/>
      <c r="G29" s="334"/>
      <c r="H29" s="528" t="s">
        <v>488</v>
      </c>
      <c r="I29" s="530" t="s">
        <v>502</v>
      </c>
      <c r="J29" s="530" t="s">
        <v>510</v>
      </c>
      <c r="K29" s="530"/>
      <c r="L29" s="706"/>
    </row>
    <row r="30" spans="2:12" x14ac:dyDescent="0.25">
      <c r="B30" s="350"/>
      <c r="C30" s="334"/>
      <c r="D30" s="334"/>
      <c r="E30" s="334"/>
      <c r="F30" s="334"/>
      <c r="G30" s="334"/>
      <c r="H30" s="333"/>
      <c r="I30" s="333"/>
      <c r="J30" s="333"/>
      <c r="K30" s="334"/>
      <c r="L30" s="340"/>
    </row>
    <row r="31" spans="2:12" x14ac:dyDescent="0.25">
      <c r="B31" s="341" t="s">
        <v>511</v>
      </c>
      <c r="C31" s="338"/>
      <c r="D31" s="342"/>
      <c r="E31" s="342"/>
      <c r="F31" s="339"/>
      <c r="G31" s="334"/>
      <c r="H31" s="349" t="s">
        <v>512</v>
      </c>
      <c r="I31" s="338"/>
      <c r="J31" s="702"/>
      <c r="K31" s="337"/>
      <c r="L31" s="340"/>
    </row>
    <row r="32" spans="2:12" x14ac:dyDescent="0.25">
      <c r="B32" s="532" t="s">
        <v>488</v>
      </c>
      <c r="C32" s="358"/>
      <c r="D32" s="354" t="s">
        <v>502</v>
      </c>
      <c r="E32" s="707" t="s">
        <v>510</v>
      </c>
      <c r="F32" s="708"/>
      <c r="G32" s="354"/>
      <c r="H32" s="533" t="s">
        <v>488</v>
      </c>
      <c r="I32" s="707" t="s">
        <v>488</v>
      </c>
      <c r="J32" s="707" t="s">
        <v>488</v>
      </c>
      <c r="K32" s="707" t="s">
        <v>488</v>
      </c>
      <c r="L32" s="709"/>
    </row>
    <row r="34" spans="2:15" ht="18.75" x14ac:dyDescent="0.25">
      <c r="B34" s="523" t="s">
        <v>17</v>
      </c>
    </row>
    <row r="35" spans="2:15" x14ac:dyDescent="0.25">
      <c r="B35" s="360"/>
      <c r="C35" s="476" t="s">
        <v>455</v>
      </c>
      <c r="D35" s="477"/>
      <c r="E35" s="476" t="s">
        <v>513</v>
      </c>
      <c r="F35" s="477"/>
      <c r="G35" s="476" t="s">
        <v>514</v>
      </c>
      <c r="H35" s="362"/>
      <c r="I35" s="361" t="s">
        <v>515</v>
      </c>
      <c r="J35" s="477"/>
      <c r="K35" s="673" t="s">
        <v>516</v>
      </c>
      <c r="L35" s="361"/>
      <c r="M35" s="674"/>
      <c r="N35" s="480"/>
      <c r="O35" s="365"/>
    </row>
    <row r="36" spans="2:15" x14ac:dyDescent="0.25">
      <c r="B36" s="719"/>
      <c r="C36" s="720" t="s">
        <v>458</v>
      </c>
      <c r="D36" s="721"/>
      <c r="E36" s="720" t="s">
        <v>517</v>
      </c>
      <c r="F36" s="721"/>
      <c r="G36" s="720" t="s">
        <v>517</v>
      </c>
      <c r="H36" s="722"/>
      <c r="I36" s="723" t="s">
        <v>517</v>
      </c>
      <c r="J36" s="721"/>
      <c r="K36" s="724" t="s">
        <v>417</v>
      </c>
      <c r="L36" s="723"/>
      <c r="M36" s="725"/>
      <c r="N36" s="726"/>
      <c r="O36" s="727"/>
    </row>
    <row r="37" spans="2:15" ht="30" x14ac:dyDescent="0.25">
      <c r="B37" s="728" t="s">
        <v>31</v>
      </c>
      <c r="C37" s="729"/>
      <c r="D37" s="730"/>
      <c r="E37" s="729"/>
      <c r="F37" s="730"/>
      <c r="G37" s="731"/>
      <c r="H37" s="730"/>
      <c r="I37" s="729"/>
      <c r="J37" s="730"/>
      <c r="K37" s="732" t="s">
        <v>518</v>
      </c>
      <c r="L37" s="729" t="s">
        <v>519</v>
      </c>
      <c r="M37" s="730" t="s">
        <v>520</v>
      </c>
      <c r="N37" s="733" t="s">
        <v>420</v>
      </c>
      <c r="O37" s="734" t="s">
        <v>421</v>
      </c>
    </row>
    <row r="38" spans="2:15" x14ac:dyDescent="0.25">
      <c r="B38" s="735"/>
      <c r="C38" s="736" t="s">
        <v>422</v>
      </c>
      <c r="D38" s="737" t="s">
        <v>100</v>
      </c>
      <c r="E38" s="736" t="s">
        <v>422</v>
      </c>
      <c r="F38" s="737" t="s">
        <v>100</v>
      </c>
      <c r="G38" s="738" t="s">
        <v>422</v>
      </c>
      <c r="H38" s="737" t="s">
        <v>100</v>
      </c>
      <c r="I38" s="736" t="s">
        <v>422</v>
      </c>
      <c r="J38" s="737" t="s">
        <v>100</v>
      </c>
      <c r="K38" s="739" t="s">
        <v>218</v>
      </c>
      <c r="L38" s="736" t="s">
        <v>218</v>
      </c>
      <c r="M38" s="737" t="s">
        <v>218</v>
      </c>
      <c r="N38" s="740" t="s">
        <v>424</v>
      </c>
      <c r="O38" s="741" t="s">
        <v>425</v>
      </c>
    </row>
    <row r="39" spans="2:15" x14ac:dyDescent="0.25">
      <c r="B39" s="395">
        <v>2020</v>
      </c>
      <c r="C39" s="396">
        <v>767595</v>
      </c>
      <c r="D39" s="397">
        <v>808110</v>
      </c>
      <c r="E39" s="710">
        <v>0.35977177650000003</v>
      </c>
      <c r="F39" s="711">
        <v>7.5752231399999995E-2</v>
      </c>
      <c r="G39" s="710">
        <v>1.7042911785000001</v>
      </c>
      <c r="H39" s="711">
        <v>0.35884932659999991</v>
      </c>
      <c r="I39" s="710">
        <v>7.1227442835000012</v>
      </c>
      <c r="J39" s="711">
        <v>1.4997390246</v>
      </c>
      <c r="K39" s="559">
        <v>3294626.7231600005</v>
      </c>
      <c r="L39" s="560">
        <v>161913.29788553502</v>
      </c>
      <c r="M39" s="712">
        <v>25865.824190940006</v>
      </c>
      <c r="N39" s="562">
        <v>3482405.8452364751</v>
      </c>
      <c r="O39" s="407">
        <v>3482405.8452364751</v>
      </c>
    </row>
    <row r="40" spans="2:15" x14ac:dyDescent="0.25">
      <c r="B40" s="410">
        <v>2054</v>
      </c>
      <c r="C40" s="411">
        <v>7393440</v>
      </c>
      <c r="D40" s="412">
        <v>8495010</v>
      </c>
      <c r="E40" s="713">
        <v>3.4653053280000004</v>
      </c>
      <c r="F40" s="647">
        <v>0.79632223739999985</v>
      </c>
      <c r="G40" s="713">
        <v>16.415654831999998</v>
      </c>
      <c r="H40" s="647">
        <v>3.7722941405999992</v>
      </c>
      <c r="I40" s="713">
        <v>68.605947792000009</v>
      </c>
      <c r="J40" s="647">
        <v>15.765549258599998</v>
      </c>
      <c r="K40" s="714">
        <v>30960203.850960001</v>
      </c>
      <c r="L40" s="715">
        <v>1521528.5766605278</v>
      </c>
      <c r="M40" s="716">
        <v>243065.83325364007</v>
      </c>
      <c r="N40" s="562">
        <v>32724798.260874171</v>
      </c>
      <c r="O40" s="407">
        <v>3279657.8370699906</v>
      </c>
    </row>
    <row r="41" spans="2:15" x14ac:dyDescent="0.25">
      <c r="B41" s="422"/>
      <c r="C41" s="425"/>
      <c r="D41" s="425"/>
      <c r="E41" s="425"/>
      <c r="F41" s="425"/>
      <c r="G41" s="573"/>
      <c r="H41" s="573"/>
      <c r="I41" s="573"/>
      <c r="J41" s="573"/>
      <c r="K41" s="425"/>
      <c r="L41" s="425"/>
      <c r="M41" s="425"/>
      <c r="N41" s="425"/>
      <c r="O41" s="429"/>
    </row>
    <row r="42" spans="2:15" x14ac:dyDescent="0.25">
      <c r="B42" s="432">
        <v>2025</v>
      </c>
      <c r="C42" s="441">
        <v>1741983.9705882072</v>
      </c>
      <c r="D42" s="442">
        <v>1938536.4705882072</v>
      </c>
      <c r="E42" s="656">
        <v>0.81646788701470996</v>
      </c>
      <c r="F42" s="657">
        <v>0.18171840875293555</v>
      </c>
      <c r="G42" s="656">
        <v>3.8677270098969529</v>
      </c>
      <c r="H42" s="657">
        <v>0.86082650512940972</v>
      </c>
      <c r="I42" s="656">
        <v>16.164391858279487</v>
      </c>
      <c r="J42" s="657">
        <v>3.5976522943059308</v>
      </c>
      <c r="K42" s="675">
        <v>7363093.9478365835</v>
      </c>
      <c r="L42" s="717">
        <v>361856.72123478621</v>
      </c>
      <c r="M42" s="522">
        <v>57807.001994278355</v>
      </c>
      <c r="N42" s="562">
        <v>7782757.6710656481</v>
      </c>
      <c r="O42" s="407">
        <v>5548998.6577403089</v>
      </c>
    </row>
    <row r="43" spans="2:15" x14ac:dyDescent="0.25">
      <c r="B43" s="432">
        <v>2026</v>
      </c>
      <c r="C43" s="441">
        <v>1936861.7647058964</v>
      </c>
      <c r="D43" s="442">
        <v>2164621.7647058964</v>
      </c>
      <c r="E43" s="656">
        <v>0.90780710911764118</v>
      </c>
      <c r="F43" s="657">
        <v>0.20291164422352637</v>
      </c>
      <c r="G43" s="656">
        <v>4.3004141761764458</v>
      </c>
      <c r="H43" s="657">
        <v>0.96122194083528711</v>
      </c>
      <c r="I43" s="656">
        <v>17.972721373235345</v>
      </c>
      <c r="J43" s="657">
        <v>4.0172349482470509</v>
      </c>
      <c r="K43" s="675">
        <v>8176787.3927717321</v>
      </c>
      <c r="L43" s="718">
        <v>401845.40590464929</v>
      </c>
      <c r="M43" s="522">
        <v>64195.23755494615</v>
      </c>
      <c r="N43" s="562">
        <v>8642828.0362313278</v>
      </c>
      <c r="O43" s="407">
        <v>5759081.2537260847</v>
      </c>
    </row>
    <row r="44" spans="2:15" x14ac:dyDescent="0.25">
      <c r="B44" s="432">
        <v>2027</v>
      </c>
      <c r="C44" s="441">
        <v>2131739.5588235259</v>
      </c>
      <c r="D44" s="442">
        <v>2390707.0588235259</v>
      </c>
      <c r="E44" s="656">
        <v>0.99914633122060081</v>
      </c>
      <c r="F44" s="657">
        <v>0.22410487969411719</v>
      </c>
      <c r="G44" s="656">
        <v>4.733101342455825</v>
      </c>
      <c r="H44" s="657">
        <v>1.0616173765411645</v>
      </c>
      <c r="I44" s="656">
        <v>19.781050888191203</v>
      </c>
      <c r="J44" s="657">
        <v>4.4368176021882846</v>
      </c>
      <c r="K44" s="675">
        <v>8990480.8377072103</v>
      </c>
      <c r="L44" s="718">
        <v>441834.0905744987</v>
      </c>
      <c r="M44" s="522">
        <v>70583.473115613422</v>
      </c>
      <c r="N44" s="562">
        <v>9502898.4013973232</v>
      </c>
      <c r="O44" s="407">
        <v>5917927.5266256761</v>
      </c>
    </row>
    <row r="45" spans="2:15" x14ac:dyDescent="0.25">
      <c r="B45" s="432">
        <v>2028</v>
      </c>
      <c r="C45" s="441">
        <v>2326617.3529411554</v>
      </c>
      <c r="D45" s="442">
        <v>2616792.3529411554</v>
      </c>
      <c r="E45" s="656">
        <v>1.090485553323532</v>
      </c>
      <c r="F45" s="657">
        <v>0.2452981151647009</v>
      </c>
      <c r="G45" s="656">
        <v>5.1657885087352042</v>
      </c>
      <c r="H45" s="657">
        <v>1.1620128122470419</v>
      </c>
      <c r="I45" s="656">
        <v>21.589380403147061</v>
      </c>
      <c r="J45" s="657">
        <v>4.8564002561294046</v>
      </c>
      <c r="K45" s="675">
        <v>9804174.2826424409</v>
      </c>
      <c r="L45" s="718">
        <v>481822.7752443481</v>
      </c>
      <c r="M45" s="522">
        <v>76971.708676281225</v>
      </c>
      <c r="N45" s="562">
        <v>10362968.766563069</v>
      </c>
      <c r="O45" s="407">
        <v>6031342.1724628331</v>
      </c>
    </row>
    <row r="46" spans="2:15" x14ac:dyDescent="0.25">
      <c r="B46" s="432">
        <v>2029</v>
      </c>
      <c r="C46" s="441">
        <v>2521495.147058785</v>
      </c>
      <c r="D46" s="442">
        <v>2842877.647058785</v>
      </c>
      <c r="E46" s="656">
        <v>1.1818247754264632</v>
      </c>
      <c r="F46" s="657">
        <v>0.26649135063529172</v>
      </c>
      <c r="G46" s="656">
        <v>5.5984756750146971</v>
      </c>
      <c r="H46" s="657">
        <v>1.2624082479529477</v>
      </c>
      <c r="I46" s="656">
        <v>23.397709918102919</v>
      </c>
      <c r="J46" s="657">
        <v>5.2759829100706384</v>
      </c>
      <c r="K46" s="675">
        <v>10617867.727577589</v>
      </c>
      <c r="L46" s="718">
        <v>521811.45991420781</v>
      </c>
      <c r="M46" s="522">
        <v>83359.94423694849</v>
      </c>
      <c r="N46" s="562">
        <v>11223039.131728746</v>
      </c>
      <c r="O46" s="407">
        <v>6104589.6780895637</v>
      </c>
    </row>
    <row r="47" spans="2:15" x14ac:dyDescent="0.25">
      <c r="B47" s="432">
        <v>2030</v>
      </c>
      <c r="C47" s="441">
        <v>2716372.9411764741</v>
      </c>
      <c r="D47" s="442">
        <v>3068962.9411764741</v>
      </c>
      <c r="E47" s="656">
        <v>1.2731639975294229</v>
      </c>
      <c r="F47" s="657">
        <v>0.28768458610588254</v>
      </c>
      <c r="G47" s="656">
        <v>6.0311628412940763</v>
      </c>
      <c r="H47" s="657">
        <v>1.3628036836588251</v>
      </c>
      <c r="I47" s="656">
        <v>25.206039433058777</v>
      </c>
      <c r="J47" s="657">
        <v>5.6955655640117584</v>
      </c>
      <c r="K47" s="675">
        <v>11431561.172513068</v>
      </c>
      <c r="L47" s="718">
        <v>561800.14458405715</v>
      </c>
      <c r="M47" s="522">
        <v>89748.179797616292</v>
      </c>
      <c r="N47" s="562">
        <v>12083109.496894741</v>
      </c>
      <c r="O47" s="407">
        <v>6142440.1595327277</v>
      </c>
    </row>
    <row r="48" spans="2:15" x14ac:dyDescent="0.25">
      <c r="B48" s="432">
        <v>2031</v>
      </c>
      <c r="C48" s="441">
        <v>2911250.7352941036</v>
      </c>
      <c r="D48" s="442">
        <v>3295048.2352941036</v>
      </c>
      <c r="E48" s="656">
        <v>1.3645032196323541</v>
      </c>
      <c r="F48" s="657">
        <v>0.30887782157646626</v>
      </c>
      <c r="G48" s="656">
        <v>6.4638500075734555</v>
      </c>
      <c r="H48" s="657">
        <v>1.4631991193647025</v>
      </c>
      <c r="I48" s="656">
        <v>27.014368948014635</v>
      </c>
      <c r="J48" s="657">
        <v>6.1151482179529921</v>
      </c>
      <c r="K48" s="675">
        <v>12245254.617448298</v>
      </c>
      <c r="L48" s="718">
        <v>601788.82925390662</v>
      </c>
      <c r="M48" s="522">
        <v>96136.415358283557</v>
      </c>
      <c r="N48" s="562">
        <v>12943179.862060487</v>
      </c>
      <c r="O48" s="407">
        <v>6149211.5148138152</v>
      </c>
    </row>
    <row r="49" spans="2:15" x14ac:dyDescent="0.25">
      <c r="B49" s="432">
        <v>2032</v>
      </c>
      <c r="C49" s="441">
        <v>3106128.5294117332</v>
      </c>
      <c r="D49" s="442">
        <v>3521133.5294117332</v>
      </c>
      <c r="E49" s="656">
        <v>1.4558424417352853</v>
      </c>
      <c r="F49" s="657">
        <v>0.33007105704705708</v>
      </c>
      <c r="G49" s="656">
        <v>6.8965371738528347</v>
      </c>
      <c r="H49" s="657">
        <v>1.5635945550705799</v>
      </c>
      <c r="I49" s="656">
        <v>28.822698462970493</v>
      </c>
      <c r="J49" s="657">
        <v>6.5347308718941122</v>
      </c>
      <c r="K49" s="675">
        <v>13058948.062383447</v>
      </c>
      <c r="L49" s="718">
        <v>641777.51392375596</v>
      </c>
      <c r="M49" s="522">
        <v>102524.65091895135</v>
      </c>
      <c r="N49" s="562">
        <v>13803250.227226155</v>
      </c>
      <c r="O49" s="407">
        <v>6128808.1772808097</v>
      </c>
    </row>
    <row r="50" spans="2:15" x14ac:dyDescent="0.25">
      <c r="B50" s="432">
        <v>2033</v>
      </c>
      <c r="C50" s="441">
        <v>3301006.3235294223</v>
      </c>
      <c r="D50" s="442">
        <v>3747218.8235294223</v>
      </c>
      <c r="E50" s="656">
        <v>1.547181663838245</v>
      </c>
      <c r="F50" s="657">
        <v>0.3512642925176408</v>
      </c>
      <c r="G50" s="656">
        <v>7.3292243401323276</v>
      </c>
      <c r="H50" s="657">
        <v>1.6639899907764573</v>
      </c>
      <c r="I50" s="656">
        <v>30.631027977926351</v>
      </c>
      <c r="J50" s="657">
        <v>6.9543135258353459</v>
      </c>
      <c r="K50" s="675">
        <v>13872641.507319009</v>
      </c>
      <c r="L50" s="718">
        <v>681766.19859361916</v>
      </c>
      <c r="M50" s="522">
        <v>108912.88647961862</v>
      </c>
      <c r="N50" s="562">
        <v>14663320.592392245</v>
      </c>
      <c r="O50" s="407">
        <v>6084756.7338346727</v>
      </c>
    </row>
    <row r="51" spans="2:15" x14ac:dyDescent="0.25">
      <c r="B51" s="432">
        <v>2034</v>
      </c>
      <c r="C51" s="441">
        <v>3495884.1176470518</v>
      </c>
      <c r="D51" s="442">
        <v>3973304.1176470518</v>
      </c>
      <c r="E51" s="656">
        <v>1.6385208859411762</v>
      </c>
      <c r="F51" s="657">
        <v>0.37245752798823162</v>
      </c>
      <c r="G51" s="656">
        <v>7.7619115064117068</v>
      </c>
      <c r="H51" s="657">
        <v>1.7643854264823631</v>
      </c>
      <c r="I51" s="656">
        <v>32.439357492882209</v>
      </c>
      <c r="J51" s="657">
        <v>7.3738961797764659</v>
      </c>
      <c r="K51" s="675">
        <v>14686334.952254158</v>
      </c>
      <c r="L51" s="718">
        <v>721754.88326346513</v>
      </c>
      <c r="M51" s="522">
        <v>115301.12204028641</v>
      </c>
      <c r="N51" s="562">
        <v>15523390.957557909</v>
      </c>
      <c r="O51" s="407">
        <v>6020238.6523933979</v>
      </c>
    </row>
    <row r="52" spans="2:15" x14ac:dyDescent="0.25">
      <c r="B52" s="432">
        <v>2035</v>
      </c>
      <c r="C52" s="441">
        <v>3690761.9117646813</v>
      </c>
      <c r="D52" s="442">
        <v>4199389.4117646813</v>
      </c>
      <c r="E52" s="656">
        <v>1.7298601080441074</v>
      </c>
      <c r="F52" s="657">
        <v>0.39365076345882244</v>
      </c>
      <c r="G52" s="656">
        <v>8.194598672691086</v>
      </c>
      <c r="H52" s="657">
        <v>1.8647808621882405</v>
      </c>
      <c r="I52" s="656">
        <v>34.247687007838067</v>
      </c>
      <c r="J52" s="657">
        <v>7.7934788337176997</v>
      </c>
      <c r="K52" s="675">
        <v>15500028.397189306</v>
      </c>
      <c r="L52" s="718">
        <v>761743.56793331448</v>
      </c>
      <c r="M52" s="522">
        <v>121689.35760095369</v>
      </c>
      <c r="N52" s="562">
        <v>16383461.322723575</v>
      </c>
      <c r="O52" s="407">
        <v>5938120.3443857087</v>
      </c>
    </row>
    <row r="53" spans="2:15" x14ac:dyDescent="0.25">
      <c r="B53" s="432">
        <v>2036</v>
      </c>
      <c r="C53" s="441">
        <v>3885639.7058823109</v>
      </c>
      <c r="D53" s="442">
        <v>4425474.7058823109</v>
      </c>
      <c r="E53" s="656">
        <v>1.821199330147067</v>
      </c>
      <c r="F53" s="657">
        <v>0.41484399892940615</v>
      </c>
      <c r="G53" s="656">
        <v>8.6272858389705789</v>
      </c>
      <c r="H53" s="657">
        <v>1.9651762978941179</v>
      </c>
      <c r="I53" s="656">
        <v>36.056016522793925</v>
      </c>
      <c r="J53" s="657">
        <v>8.2130614876588197</v>
      </c>
      <c r="K53" s="675">
        <v>16313721.842124866</v>
      </c>
      <c r="L53" s="718">
        <v>801732.25260317756</v>
      </c>
      <c r="M53" s="522">
        <v>128077.59316162148</v>
      </c>
      <c r="N53" s="562">
        <v>17243531.687889665</v>
      </c>
      <c r="O53" s="407">
        <v>5840980.7708901959</v>
      </c>
    </row>
    <row r="54" spans="2:15" x14ac:dyDescent="0.25">
      <c r="B54" s="432">
        <v>2037</v>
      </c>
      <c r="C54" s="441">
        <v>4080517.5</v>
      </c>
      <c r="D54" s="442">
        <v>4651560</v>
      </c>
      <c r="E54" s="656">
        <v>1.9125385522499982</v>
      </c>
      <c r="F54" s="657">
        <v>0.43603723439999698</v>
      </c>
      <c r="G54" s="656">
        <v>9.0599730052499581</v>
      </c>
      <c r="H54" s="657">
        <v>2.0655717335999952</v>
      </c>
      <c r="I54" s="656">
        <v>37.864346037749783</v>
      </c>
      <c r="J54" s="657">
        <v>8.6326441416000534</v>
      </c>
      <c r="K54" s="675">
        <v>17127415.287060015</v>
      </c>
      <c r="L54" s="718">
        <v>841720.93727302703</v>
      </c>
      <c r="M54" s="522">
        <v>134465.82872228874</v>
      </c>
      <c r="N54" s="562">
        <v>18103602.053055327</v>
      </c>
      <c r="O54" s="407">
        <v>5731136.7851508036</v>
      </c>
    </row>
    <row r="55" spans="2:15" x14ac:dyDescent="0.25">
      <c r="B55" s="432">
        <v>2038</v>
      </c>
      <c r="C55" s="441">
        <v>4275395.2941176295</v>
      </c>
      <c r="D55" s="442">
        <v>4877645.2941176295</v>
      </c>
      <c r="E55" s="656">
        <v>2.0038777743529295</v>
      </c>
      <c r="F55" s="657">
        <v>0.4572304698705878</v>
      </c>
      <c r="G55" s="656">
        <v>9.4926601715293373</v>
      </c>
      <c r="H55" s="657">
        <v>2.1659671693058726</v>
      </c>
      <c r="I55" s="656">
        <v>39.672675552705641</v>
      </c>
      <c r="J55" s="657">
        <v>9.0522267955411735</v>
      </c>
      <c r="K55" s="675">
        <v>17941108.731995162</v>
      </c>
      <c r="L55" s="718">
        <v>881709.62194287649</v>
      </c>
      <c r="M55" s="522">
        <v>140854.06428295656</v>
      </c>
      <c r="N55" s="562">
        <v>18963672.418220997</v>
      </c>
      <c r="O55" s="407">
        <v>5610666.3894947385</v>
      </c>
    </row>
    <row r="56" spans="2:15" x14ac:dyDescent="0.25">
      <c r="B56" s="432">
        <v>2039</v>
      </c>
      <c r="C56" s="441">
        <v>4470273.0882352591</v>
      </c>
      <c r="D56" s="442">
        <v>5103730.5882352591</v>
      </c>
      <c r="E56" s="656">
        <v>2.0952169964558891</v>
      </c>
      <c r="F56" s="657">
        <v>0.47842370534117151</v>
      </c>
      <c r="G56" s="656">
        <v>9.9253473378087165</v>
      </c>
      <c r="H56" s="657">
        <v>2.26636260501175</v>
      </c>
      <c r="I56" s="656">
        <v>41.481005067661954</v>
      </c>
      <c r="J56" s="657">
        <v>9.4718094494824072</v>
      </c>
      <c r="K56" s="675">
        <v>18754802.176930726</v>
      </c>
      <c r="L56" s="718">
        <v>921698.30661272584</v>
      </c>
      <c r="M56" s="522">
        <v>147242.29984362592</v>
      </c>
      <c r="N56" s="562">
        <v>19823742.783387076</v>
      </c>
      <c r="O56" s="407">
        <v>5481430.0710700201</v>
      </c>
    </row>
    <row r="57" spans="2:15" x14ac:dyDescent="0.25">
      <c r="B57" s="432">
        <v>2040</v>
      </c>
      <c r="C57" s="441">
        <v>4665150.8823529482</v>
      </c>
      <c r="D57" s="442">
        <v>5329815.8823529482</v>
      </c>
      <c r="E57" s="656">
        <v>2.1865562185588203</v>
      </c>
      <c r="F57" s="657">
        <v>0.49961694081176233</v>
      </c>
      <c r="G57" s="656">
        <v>10.358034504088209</v>
      </c>
      <c r="H57" s="657">
        <v>2.3667580407176558</v>
      </c>
      <c r="I57" s="656">
        <v>43.289334582617812</v>
      </c>
      <c r="J57" s="657">
        <v>9.8913921034235273</v>
      </c>
      <c r="K57" s="675">
        <v>19568495.621865872</v>
      </c>
      <c r="L57" s="718">
        <v>961686.99128258554</v>
      </c>
      <c r="M57" s="522">
        <v>153630.53540429371</v>
      </c>
      <c r="N57" s="562">
        <v>20683813.148552753</v>
      </c>
      <c r="O57" s="407">
        <v>5345090.3682373883</v>
      </c>
    </row>
    <row r="58" spans="2:15" x14ac:dyDescent="0.25">
      <c r="B58" s="432">
        <v>2041</v>
      </c>
      <c r="C58" s="441">
        <v>4860028.6764705777</v>
      </c>
      <c r="D58" s="442">
        <v>5555901.1764705777</v>
      </c>
      <c r="E58" s="656">
        <v>2.27789544066178</v>
      </c>
      <c r="F58" s="657">
        <v>0.52081017628235315</v>
      </c>
      <c r="G58" s="656">
        <v>10.790721670367589</v>
      </c>
      <c r="H58" s="657">
        <v>2.4671534764235332</v>
      </c>
      <c r="I58" s="656">
        <v>45.09766409757367</v>
      </c>
      <c r="J58" s="657">
        <v>10.310974757364761</v>
      </c>
      <c r="K58" s="675">
        <v>20382189.066801351</v>
      </c>
      <c r="L58" s="718">
        <v>1001675.675952435</v>
      </c>
      <c r="M58" s="522">
        <v>160018.77096496098</v>
      </c>
      <c r="N58" s="562">
        <v>21543883.513718747</v>
      </c>
      <c r="O58" s="407">
        <v>5203129.8078068634</v>
      </c>
    </row>
    <row r="59" spans="2:15" x14ac:dyDescent="0.25">
      <c r="B59" s="432">
        <v>2042</v>
      </c>
      <c r="C59" s="441">
        <v>5054906.4705882072</v>
      </c>
      <c r="D59" s="442">
        <v>5781986.4705882072</v>
      </c>
      <c r="E59" s="656">
        <v>2.3692346627647112</v>
      </c>
      <c r="F59" s="657">
        <v>0.54200341175293687</v>
      </c>
      <c r="G59" s="656">
        <v>11.223408836646968</v>
      </c>
      <c r="H59" s="657">
        <v>2.5675489121294106</v>
      </c>
      <c r="I59" s="656">
        <v>46.905993612529528</v>
      </c>
      <c r="J59" s="657">
        <v>10.730557411305881</v>
      </c>
      <c r="K59" s="675">
        <v>21195882.511736583</v>
      </c>
      <c r="L59" s="718">
        <v>1041664.3606222844</v>
      </c>
      <c r="M59" s="522">
        <v>166407.00652562876</v>
      </c>
      <c r="N59" s="562">
        <v>22403953.878884494</v>
      </c>
      <c r="O59" s="407">
        <v>5056867.3425357994</v>
      </c>
    </row>
    <row r="60" spans="2:15" x14ac:dyDescent="0.25">
      <c r="B60" s="432">
        <v>2043</v>
      </c>
      <c r="C60" s="441">
        <v>5249784.2647058964</v>
      </c>
      <c r="D60" s="442">
        <v>6008071.7647058964</v>
      </c>
      <c r="E60" s="656">
        <v>2.4605738848676424</v>
      </c>
      <c r="F60" s="657">
        <v>0.56319664722352769</v>
      </c>
      <c r="G60" s="656">
        <v>11.656096002926461</v>
      </c>
      <c r="H60" s="657">
        <v>2.667944347835288</v>
      </c>
      <c r="I60" s="656">
        <v>48.714323127485386</v>
      </c>
      <c r="J60" s="657">
        <v>11.150140065247115</v>
      </c>
      <c r="K60" s="675">
        <v>22009575.95667173</v>
      </c>
      <c r="L60" s="718">
        <v>1081653.0452921474</v>
      </c>
      <c r="M60" s="522">
        <v>172795.24208629606</v>
      </c>
      <c r="N60" s="562">
        <v>23264024.244050171</v>
      </c>
      <c r="O60" s="407">
        <v>4907473.4083498381</v>
      </c>
    </row>
    <row r="61" spans="2:15" x14ac:dyDescent="0.25">
      <c r="B61" s="432">
        <v>2044</v>
      </c>
      <c r="C61" s="441">
        <v>5444662.0588235259</v>
      </c>
      <c r="D61" s="442">
        <v>6234157.0588235259</v>
      </c>
      <c r="E61" s="656">
        <v>2.551913106970602</v>
      </c>
      <c r="F61" s="657">
        <v>0.58438988269411141</v>
      </c>
      <c r="G61" s="656">
        <v>12.08878316920584</v>
      </c>
      <c r="H61" s="657">
        <v>2.7683397835411654</v>
      </c>
      <c r="I61" s="656">
        <v>50.522652642441244</v>
      </c>
      <c r="J61" s="657">
        <v>11.569722719188235</v>
      </c>
      <c r="K61" s="675">
        <v>22823269.40160729</v>
      </c>
      <c r="L61" s="718">
        <v>1121641.7299619969</v>
      </c>
      <c r="M61" s="522">
        <v>179183.47764696385</v>
      </c>
      <c r="N61" s="562">
        <v>24124094.609216254</v>
      </c>
      <c r="O61" s="407">
        <v>4755983.7115319641</v>
      </c>
    </row>
    <row r="62" spans="2:15" x14ac:dyDescent="0.25">
      <c r="B62" s="432">
        <v>2045</v>
      </c>
      <c r="C62" s="441">
        <v>5639539.8529411554</v>
      </c>
      <c r="D62" s="442">
        <v>6460242.3529411554</v>
      </c>
      <c r="E62" s="656">
        <v>2.6432523290735332</v>
      </c>
      <c r="F62" s="657">
        <v>0.60558311816470223</v>
      </c>
      <c r="G62" s="656">
        <v>12.521470335485219</v>
      </c>
      <c r="H62" s="657">
        <v>2.8687352192470428</v>
      </c>
      <c r="I62" s="656">
        <v>52.330982157397102</v>
      </c>
      <c r="J62" s="657">
        <v>11.989305373129469</v>
      </c>
      <c r="K62" s="675">
        <v>23636962.84654244</v>
      </c>
      <c r="L62" s="718">
        <v>1161630.4146318464</v>
      </c>
      <c r="M62" s="522">
        <v>185571.71320763111</v>
      </c>
      <c r="N62" s="562">
        <v>24984164.97438192</v>
      </c>
      <c r="O62" s="407">
        <v>4603311.8476098143</v>
      </c>
    </row>
    <row r="63" spans="2:15" x14ac:dyDescent="0.25">
      <c r="B63" s="432">
        <v>2046</v>
      </c>
      <c r="C63" s="441">
        <v>5834417.647058785</v>
      </c>
      <c r="D63" s="442">
        <v>6686327.647058785</v>
      </c>
      <c r="E63" s="656">
        <v>2.7345915511764645</v>
      </c>
      <c r="F63" s="657">
        <v>0.62677635363529305</v>
      </c>
      <c r="G63" s="656">
        <v>12.954157501764598</v>
      </c>
      <c r="H63" s="657">
        <v>2.9691306549529486</v>
      </c>
      <c r="I63" s="656">
        <v>54.13931167235296</v>
      </c>
      <c r="J63" s="657">
        <v>12.408888027070589</v>
      </c>
      <c r="K63" s="675">
        <v>24450656.291477587</v>
      </c>
      <c r="L63" s="718">
        <v>1201619.0993016923</v>
      </c>
      <c r="M63" s="522">
        <v>191959.9487682989</v>
      </c>
      <c r="N63" s="562">
        <v>25844235.339547578</v>
      </c>
      <c r="O63" s="407">
        <v>4450260.8457970461</v>
      </c>
    </row>
    <row r="64" spans="2:15" x14ac:dyDescent="0.25">
      <c r="B64" s="432">
        <v>2047</v>
      </c>
      <c r="C64" s="441">
        <v>6029295.4411764741</v>
      </c>
      <c r="D64" s="442">
        <v>6912412.9411764741</v>
      </c>
      <c r="E64" s="656">
        <v>2.8259307732794241</v>
      </c>
      <c r="F64" s="657">
        <v>0.64796958910587676</v>
      </c>
      <c r="G64" s="656">
        <v>13.386844668044091</v>
      </c>
      <c r="H64" s="657">
        <v>3.069526090658826</v>
      </c>
      <c r="I64" s="656">
        <v>55.947641187308818</v>
      </c>
      <c r="J64" s="657">
        <v>12.828470681011822</v>
      </c>
      <c r="K64" s="675">
        <v>25264349.736413147</v>
      </c>
      <c r="L64" s="718">
        <v>1241607.7839715553</v>
      </c>
      <c r="M64" s="522">
        <v>198348.18432896619</v>
      </c>
      <c r="N64" s="562">
        <v>26704305.704713669</v>
      </c>
      <c r="O64" s="407">
        <v>4297533.7255620081</v>
      </c>
    </row>
    <row r="65" spans="2:15" x14ac:dyDescent="0.25">
      <c r="B65" s="432">
        <v>2048</v>
      </c>
      <c r="C65" s="441">
        <v>6224173.2352941036</v>
      </c>
      <c r="D65" s="442">
        <v>7138498.2352941036</v>
      </c>
      <c r="E65" s="656">
        <v>2.9172699953823553</v>
      </c>
      <c r="F65" s="657">
        <v>0.66916282457646759</v>
      </c>
      <c r="G65" s="656">
        <v>13.81953183432347</v>
      </c>
      <c r="H65" s="657">
        <v>3.1699215263647034</v>
      </c>
      <c r="I65" s="656">
        <v>57.755970702264676</v>
      </c>
      <c r="J65" s="657">
        <v>13.248053334952942</v>
      </c>
      <c r="K65" s="675">
        <v>26078043.181348298</v>
      </c>
      <c r="L65" s="718">
        <v>1281596.4686414048</v>
      </c>
      <c r="M65" s="522">
        <v>204736.41988963398</v>
      </c>
      <c r="N65" s="562">
        <v>27564376.069879334</v>
      </c>
      <c r="O65" s="407">
        <v>4145743.1451703901</v>
      </c>
    </row>
    <row r="66" spans="2:15" x14ac:dyDescent="0.25">
      <c r="B66" s="432">
        <v>2049</v>
      </c>
      <c r="C66" s="441">
        <v>6419051.0294117332</v>
      </c>
      <c r="D66" s="442">
        <v>7364583.5294117332</v>
      </c>
      <c r="E66" s="656">
        <v>3.0086092174852865</v>
      </c>
      <c r="F66" s="657">
        <v>0.69035606004705841</v>
      </c>
      <c r="G66" s="656">
        <v>14.25221900060285</v>
      </c>
      <c r="H66" s="657">
        <v>3.2703169620705808</v>
      </c>
      <c r="I66" s="656">
        <v>59.564300217220534</v>
      </c>
      <c r="J66" s="657">
        <v>13.667635988894062</v>
      </c>
      <c r="K66" s="675">
        <v>26891736.626283444</v>
      </c>
      <c r="L66" s="718">
        <v>1321585.1533112542</v>
      </c>
      <c r="M66" s="522">
        <v>211124.65545030177</v>
      </c>
      <c r="N66" s="562">
        <v>28424446.435045</v>
      </c>
      <c r="O66" s="407">
        <v>3995420.2158290031</v>
      </c>
    </row>
    <row r="67" spans="2:15" x14ac:dyDescent="0.25">
      <c r="B67" s="432">
        <v>2050</v>
      </c>
      <c r="C67" s="441">
        <v>6613928.8235294223</v>
      </c>
      <c r="D67" s="442">
        <v>7590668.8235294223</v>
      </c>
      <c r="E67" s="656">
        <v>3.0999484395882462</v>
      </c>
      <c r="F67" s="657">
        <v>0.71154929551764212</v>
      </c>
      <c r="G67" s="656">
        <v>14.684906166882342</v>
      </c>
      <c r="H67" s="657">
        <v>3.3707123977764581</v>
      </c>
      <c r="I67" s="656">
        <v>61.372629732176392</v>
      </c>
      <c r="J67" s="657">
        <v>14.087218642835296</v>
      </c>
      <c r="K67" s="675">
        <v>27705430.071219008</v>
      </c>
      <c r="L67" s="718">
        <v>1361573.8379811172</v>
      </c>
      <c r="M67" s="522">
        <v>217512.89101096903</v>
      </c>
      <c r="N67" s="562">
        <v>29284516.800211094</v>
      </c>
      <c r="O67" s="407">
        <v>3847022.5493088844</v>
      </c>
    </row>
    <row r="68" spans="2:15" x14ac:dyDescent="0.25">
      <c r="B68" s="432">
        <v>2051</v>
      </c>
      <c r="C68" s="441">
        <v>6808806.6176470518</v>
      </c>
      <c r="D68" s="442">
        <v>7816754.1176470518</v>
      </c>
      <c r="E68" s="656">
        <v>3.1912876616911774</v>
      </c>
      <c r="F68" s="657">
        <v>0.73274253098823294</v>
      </c>
      <c r="G68" s="656">
        <v>15.117593333161722</v>
      </c>
      <c r="H68" s="657">
        <v>3.471107833482364</v>
      </c>
      <c r="I68" s="656">
        <v>63.18095924713225</v>
      </c>
      <c r="J68" s="657">
        <v>14.506801296776416</v>
      </c>
      <c r="K68" s="675">
        <v>28519123.516154155</v>
      </c>
      <c r="L68" s="718">
        <v>1401562.5226509634</v>
      </c>
      <c r="M68" s="522">
        <v>223901.12657163685</v>
      </c>
      <c r="N68" s="562">
        <v>30144587.165376756</v>
      </c>
      <c r="O68" s="407">
        <v>3700941.6016175626</v>
      </c>
    </row>
    <row r="69" spans="2:15" x14ac:dyDescent="0.25">
      <c r="B69" s="432">
        <v>2052</v>
      </c>
      <c r="C69" s="441">
        <v>7003684.4117646813</v>
      </c>
      <c r="D69" s="442">
        <v>8042839.4117646813</v>
      </c>
      <c r="E69" s="656">
        <v>3.2826268837941086</v>
      </c>
      <c r="F69" s="657">
        <v>0.75393576645882376</v>
      </c>
      <c r="G69" s="656">
        <v>15.550280499441101</v>
      </c>
      <c r="H69" s="657">
        <v>3.5715032691882413</v>
      </c>
      <c r="I69" s="656">
        <v>64.989288762088108</v>
      </c>
      <c r="J69" s="657">
        <v>14.92638395071765</v>
      </c>
      <c r="K69" s="675">
        <v>29332816.961089306</v>
      </c>
      <c r="L69" s="718">
        <v>1441551.2073208126</v>
      </c>
      <c r="M69" s="522">
        <v>230289.36213230412</v>
      </c>
      <c r="N69" s="562">
        <v>31004657.530542422</v>
      </c>
      <c r="O69" s="407">
        <v>3557509.3703840519</v>
      </c>
    </row>
    <row r="70" spans="2:15" x14ac:dyDescent="0.25">
      <c r="B70" s="432">
        <v>2053</v>
      </c>
      <c r="C70" s="441">
        <v>7198562.2058823109</v>
      </c>
      <c r="D70" s="442">
        <v>8268924.7058823109</v>
      </c>
      <c r="E70" s="656">
        <v>3.3739661058970682</v>
      </c>
      <c r="F70" s="657">
        <v>0.77512900192940748</v>
      </c>
      <c r="G70" s="656">
        <v>15.98296766572048</v>
      </c>
      <c r="H70" s="657">
        <v>3.6718987048941187</v>
      </c>
      <c r="I70" s="656">
        <v>66.797618277043966</v>
      </c>
      <c r="J70" s="657">
        <v>15.34596660465877</v>
      </c>
      <c r="K70" s="675">
        <v>30146510.406024866</v>
      </c>
      <c r="L70" s="718">
        <v>1481539.8919906621</v>
      </c>
      <c r="M70" s="522">
        <v>236677.5976929719</v>
      </c>
      <c r="N70" s="562">
        <v>31864727.895708498</v>
      </c>
      <c r="O70" s="407">
        <v>3417004.4990866962</v>
      </c>
    </row>
    <row r="71" spans="2:15" x14ac:dyDescent="0.25">
      <c r="B71" s="432">
        <v>2054</v>
      </c>
      <c r="C71" s="441">
        <v>7393440</v>
      </c>
      <c r="D71" s="442">
        <v>8495010</v>
      </c>
      <c r="E71" s="656">
        <v>3.4653053279999995</v>
      </c>
      <c r="F71" s="657">
        <v>0.7963222373999983</v>
      </c>
      <c r="G71" s="656">
        <v>16.415654831999973</v>
      </c>
      <c r="H71" s="657">
        <v>3.7722941405999961</v>
      </c>
      <c r="I71" s="656">
        <v>68.605947791999824</v>
      </c>
      <c r="J71" s="657">
        <v>15.765549258600004</v>
      </c>
      <c r="K71" s="675">
        <v>30960203.850960013</v>
      </c>
      <c r="L71" s="718">
        <v>1521528.5766605253</v>
      </c>
      <c r="M71" s="522">
        <v>243065.83325363917</v>
      </c>
      <c r="N71" s="562">
        <v>32724798.260874178</v>
      </c>
      <c r="O71" s="407">
        <v>3279657.8370699915</v>
      </c>
    </row>
    <row r="72" spans="2:15" x14ac:dyDescent="0.25">
      <c r="B72" s="422"/>
      <c r="C72" s="423"/>
      <c r="D72" s="423"/>
      <c r="E72" s="423"/>
      <c r="F72" s="423"/>
      <c r="G72" s="425"/>
      <c r="H72" s="425"/>
      <c r="I72" s="425"/>
      <c r="J72" s="425"/>
      <c r="K72" s="425"/>
      <c r="L72" s="425"/>
      <c r="M72" s="425"/>
      <c r="N72" s="425"/>
      <c r="O72" s="429"/>
    </row>
    <row r="73" spans="2:15" x14ac:dyDescent="0.25">
      <c r="B73" s="449" t="s">
        <v>33</v>
      </c>
      <c r="C73" s="450"/>
      <c r="D73" s="451"/>
      <c r="E73" s="451"/>
      <c r="F73" s="451"/>
      <c r="G73" s="451"/>
      <c r="H73" s="451"/>
      <c r="I73" s="451"/>
      <c r="J73" s="451"/>
      <c r="K73" s="451"/>
      <c r="L73" s="451"/>
      <c r="M73" s="588"/>
      <c r="N73" s="451"/>
      <c r="O73" s="452">
        <v>153052679.16338867</v>
      </c>
    </row>
    <row r="76" spans="2:15" x14ac:dyDescent="0.25">
      <c r="B76" s="360"/>
      <c r="C76" s="455">
        <v>1</v>
      </c>
      <c r="E76" s="457" t="s">
        <v>421</v>
      </c>
      <c r="F76" s="458"/>
      <c r="G76" s="367" t="s">
        <v>33</v>
      </c>
      <c r="H76" s="367" t="s">
        <v>33</v>
      </c>
      <c r="I76" s="367" t="s">
        <v>33</v>
      </c>
    </row>
    <row r="77" spans="2:15" x14ac:dyDescent="0.25">
      <c r="B77" s="368"/>
      <c r="C77" s="793" t="str">
        <f>IF(ISBLANK(INDEX(SafetyModelGroup,C76,1)),"Not Used",INDEX(SafetyModelGroup,C76,1))</f>
        <v>Avion</v>
      </c>
      <c r="E77" s="385" t="s">
        <v>427</v>
      </c>
      <c r="F77" s="458"/>
      <c r="G77" s="459" t="s">
        <v>521</v>
      </c>
      <c r="H77" s="459" t="s">
        <v>522</v>
      </c>
      <c r="I77" s="459" t="s">
        <v>39</v>
      </c>
    </row>
    <row r="78" spans="2:15" x14ac:dyDescent="0.25">
      <c r="B78" s="379" t="s">
        <v>31</v>
      </c>
      <c r="C78" s="793"/>
      <c r="E78" s="385" t="s">
        <v>523</v>
      </c>
      <c r="F78" s="458"/>
      <c r="G78" s="387" t="s">
        <v>524</v>
      </c>
      <c r="H78" s="387" t="s">
        <v>524</v>
      </c>
      <c r="I78" s="387" t="s">
        <v>524</v>
      </c>
    </row>
    <row r="79" spans="2:15" x14ac:dyDescent="0.25">
      <c r="B79" s="388"/>
      <c r="C79" s="804"/>
      <c r="E79" s="393" t="s">
        <v>17</v>
      </c>
      <c r="F79" s="458"/>
      <c r="G79" s="394"/>
      <c r="H79" s="394"/>
      <c r="I79" s="394"/>
    </row>
    <row r="80" spans="2:15" x14ac:dyDescent="0.25">
      <c r="B80" s="432">
        <v>2025</v>
      </c>
      <c r="C80" s="460">
        <v>5548998.6577403089</v>
      </c>
      <c r="E80" s="407">
        <v>5548998.6577403089</v>
      </c>
      <c r="F80" s="461"/>
      <c r="G80" s="448">
        <v>0.63474947826177441</v>
      </c>
      <c r="H80" s="448">
        <v>3.0069005047675432</v>
      </c>
      <c r="I80" s="448">
        <v>12.566739563973556</v>
      </c>
    </row>
    <row r="81" spans="2:9" x14ac:dyDescent="0.25">
      <c r="B81" s="432">
        <v>2026</v>
      </c>
      <c r="C81" s="460">
        <v>5759081.2537260847</v>
      </c>
      <c r="E81" s="407">
        <v>5759081.2537260847</v>
      </c>
      <c r="F81" s="461"/>
      <c r="G81" s="448">
        <v>0.70489546489411481</v>
      </c>
      <c r="H81" s="448">
        <v>3.3391922353411587</v>
      </c>
      <c r="I81" s="448">
        <v>13.955486424988294</v>
      </c>
    </row>
    <row r="82" spans="2:9" x14ac:dyDescent="0.25">
      <c r="B82" s="432">
        <v>2027</v>
      </c>
      <c r="C82" s="460">
        <v>5917927.5266256761</v>
      </c>
      <c r="E82" s="407">
        <v>5917927.5266256761</v>
      </c>
      <c r="F82" s="461"/>
      <c r="G82" s="448">
        <v>0.77504145152648363</v>
      </c>
      <c r="H82" s="448">
        <v>3.6714839659146605</v>
      </c>
      <c r="I82" s="448">
        <v>15.344233286002918</v>
      </c>
    </row>
    <row r="83" spans="2:9" x14ac:dyDescent="0.25">
      <c r="B83" s="432">
        <v>2028</v>
      </c>
      <c r="C83" s="460">
        <v>6031342.1724628331</v>
      </c>
      <c r="E83" s="407">
        <v>6031342.1724628331</v>
      </c>
      <c r="F83" s="461"/>
      <c r="G83" s="448">
        <v>0.84518743815883113</v>
      </c>
      <c r="H83" s="448">
        <v>4.0037756964881623</v>
      </c>
      <c r="I83" s="448">
        <v>16.732980147017656</v>
      </c>
    </row>
    <row r="84" spans="2:9" x14ac:dyDescent="0.25">
      <c r="B84" s="432">
        <v>2029</v>
      </c>
      <c r="C84" s="460">
        <v>6104589.6780895637</v>
      </c>
      <c r="E84" s="407">
        <v>6104589.6780895637</v>
      </c>
      <c r="F84" s="461"/>
      <c r="G84" s="448">
        <v>0.91533342479117152</v>
      </c>
      <c r="H84" s="448">
        <v>4.3360674270617494</v>
      </c>
      <c r="I84" s="448">
        <v>18.121727008032281</v>
      </c>
    </row>
    <row r="85" spans="2:9" x14ac:dyDescent="0.25">
      <c r="B85" s="432">
        <v>2030</v>
      </c>
      <c r="C85" s="460">
        <v>6142440.1595327277</v>
      </c>
      <c r="E85" s="407">
        <v>6142440.1595327277</v>
      </c>
      <c r="F85" s="461"/>
      <c r="G85" s="448">
        <v>0.98547941142354034</v>
      </c>
      <c r="H85" s="448">
        <v>4.6683591576352512</v>
      </c>
      <c r="I85" s="448">
        <v>19.510473869047019</v>
      </c>
    </row>
    <row r="86" spans="2:9" x14ac:dyDescent="0.25">
      <c r="B86" s="432">
        <v>2031</v>
      </c>
      <c r="C86" s="460">
        <v>6149211.5148138152</v>
      </c>
      <c r="E86" s="407">
        <v>6149211.5148138152</v>
      </c>
      <c r="F86" s="461"/>
      <c r="G86" s="448">
        <v>1.0556253980558878</v>
      </c>
      <c r="H86" s="448">
        <v>5.000650888208753</v>
      </c>
      <c r="I86" s="448">
        <v>20.899220730061643</v>
      </c>
    </row>
    <row r="87" spans="2:9" x14ac:dyDescent="0.25">
      <c r="B87" s="432">
        <v>2032</v>
      </c>
      <c r="C87" s="460">
        <v>6128808.1772808097</v>
      </c>
      <c r="E87" s="407">
        <v>6128808.1772808097</v>
      </c>
      <c r="F87" s="461"/>
      <c r="G87" s="448">
        <v>1.1257713846882282</v>
      </c>
      <c r="H87" s="448">
        <v>5.3329426187822548</v>
      </c>
      <c r="I87" s="448">
        <v>22.287967591076381</v>
      </c>
    </row>
    <row r="88" spans="2:9" x14ac:dyDescent="0.25">
      <c r="B88" s="432">
        <v>2033</v>
      </c>
      <c r="C88" s="460">
        <v>6084756.7338346727</v>
      </c>
      <c r="E88" s="407">
        <v>6084756.7338346727</v>
      </c>
      <c r="F88" s="461"/>
      <c r="G88" s="448">
        <v>1.1959173713206042</v>
      </c>
      <c r="H88" s="448">
        <v>5.6652343493558703</v>
      </c>
      <c r="I88" s="448">
        <v>23.676714452091005</v>
      </c>
    </row>
    <row r="89" spans="2:9" x14ac:dyDescent="0.25">
      <c r="B89" s="432">
        <v>2034</v>
      </c>
      <c r="C89" s="460">
        <v>6020238.6523933979</v>
      </c>
      <c r="E89" s="407">
        <v>6020238.6523933979</v>
      </c>
      <c r="F89" s="461"/>
      <c r="G89" s="448">
        <v>1.2660633579529446</v>
      </c>
      <c r="H89" s="448">
        <v>5.9975260799293437</v>
      </c>
      <c r="I89" s="448">
        <v>25.065461313105743</v>
      </c>
    </row>
    <row r="90" spans="2:9" x14ac:dyDescent="0.25">
      <c r="B90" s="432">
        <v>2035</v>
      </c>
      <c r="C90" s="460">
        <v>5938120.3443857087</v>
      </c>
      <c r="E90" s="407">
        <v>5938120.3443857087</v>
      </c>
      <c r="F90" s="461"/>
      <c r="G90" s="448">
        <v>1.336209344585285</v>
      </c>
      <c r="H90" s="448">
        <v>6.3298178105028455</v>
      </c>
      <c r="I90" s="448">
        <v>26.454208174120367</v>
      </c>
    </row>
    <row r="91" spans="2:9" x14ac:dyDescent="0.25">
      <c r="B91" s="432">
        <v>2036</v>
      </c>
      <c r="C91" s="460">
        <v>5840980.7708901959</v>
      </c>
      <c r="E91" s="407">
        <v>5840980.7708901959</v>
      </c>
      <c r="F91" s="461"/>
      <c r="G91" s="448">
        <v>1.4063553312176609</v>
      </c>
      <c r="H91" s="448">
        <v>6.662109541076461</v>
      </c>
      <c r="I91" s="448">
        <v>27.842955035135105</v>
      </c>
    </row>
    <row r="92" spans="2:9" x14ac:dyDescent="0.25">
      <c r="B92" s="432">
        <v>2037</v>
      </c>
      <c r="C92" s="460">
        <v>5731136.7851508036</v>
      </c>
      <c r="E92" s="407">
        <v>5731136.7851508036</v>
      </c>
      <c r="F92" s="461"/>
      <c r="G92" s="448">
        <v>1.4765013178500013</v>
      </c>
      <c r="H92" s="448">
        <v>6.9944012716499628</v>
      </c>
      <c r="I92" s="448">
        <v>29.23170189614973</v>
      </c>
    </row>
    <row r="93" spans="2:9" x14ac:dyDescent="0.25">
      <c r="B93" s="432">
        <v>2038</v>
      </c>
      <c r="C93" s="460">
        <v>5610666.3894947385</v>
      </c>
      <c r="E93" s="407">
        <v>5610666.3894947385</v>
      </c>
      <c r="F93" s="461"/>
      <c r="G93" s="448">
        <v>1.5466473044823417</v>
      </c>
      <c r="H93" s="448">
        <v>7.3266930022234646</v>
      </c>
      <c r="I93" s="448">
        <v>30.620448757164468</v>
      </c>
    </row>
    <row r="94" spans="2:9" x14ac:dyDescent="0.25">
      <c r="B94" s="432">
        <v>2039</v>
      </c>
      <c r="C94" s="460">
        <v>5481430.0710700201</v>
      </c>
      <c r="E94" s="407">
        <v>5481430.0710700201</v>
      </c>
      <c r="F94" s="461"/>
      <c r="G94" s="448">
        <v>1.6167932911147176</v>
      </c>
      <c r="H94" s="448">
        <v>7.6589847327969665</v>
      </c>
      <c r="I94" s="448">
        <v>32.009195618179547</v>
      </c>
    </row>
    <row r="95" spans="2:9" x14ac:dyDescent="0.25">
      <c r="B95" s="432">
        <v>2040</v>
      </c>
      <c r="C95" s="460">
        <v>5345090.3682373883</v>
      </c>
      <c r="E95" s="407">
        <v>5345090.3682373883</v>
      </c>
      <c r="F95" s="461"/>
      <c r="G95" s="448">
        <v>1.686939277747058</v>
      </c>
      <c r="H95" s="448">
        <v>7.9912764633705535</v>
      </c>
      <c r="I95" s="448">
        <v>33.397942479194285</v>
      </c>
    </row>
    <row r="96" spans="2:9" x14ac:dyDescent="0.25">
      <c r="B96" s="432">
        <v>2041</v>
      </c>
      <c r="C96" s="460">
        <v>5203129.8078068634</v>
      </c>
      <c r="E96" s="407">
        <v>5203129.8078068634</v>
      </c>
      <c r="F96" s="461"/>
      <c r="G96" s="448">
        <v>1.7570852643794268</v>
      </c>
      <c r="H96" s="448">
        <v>8.3235681939440553</v>
      </c>
      <c r="I96" s="448">
        <v>34.786689340208909</v>
      </c>
    </row>
    <row r="97" spans="2:9" x14ac:dyDescent="0.25">
      <c r="B97" s="432">
        <v>2042</v>
      </c>
      <c r="C97" s="460">
        <v>5056867.3425357994</v>
      </c>
      <c r="E97" s="407">
        <v>5056867.3425357994</v>
      </c>
      <c r="F97" s="461"/>
      <c r="G97" s="448">
        <v>1.8272312510117743</v>
      </c>
      <c r="H97" s="448">
        <v>8.6558599245175571</v>
      </c>
      <c r="I97" s="448">
        <v>36.175436201223647</v>
      </c>
    </row>
    <row r="98" spans="2:9" x14ac:dyDescent="0.25">
      <c r="B98" s="432">
        <v>2043</v>
      </c>
      <c r="C98" s="460">
        <v>4907473.4083498381</v>
      </c>
      <c r="E98" s="407">
        <v>4907473.4083498381</v>
      </c>
      <c r="F98" s="461"/>
      <c r="G98" s="448">
        <v>1.8973772376441147</v>
      </c>
      <c r="H98" s="448">
        <v>8.9881516550911726</v>
      </c>
      <c r="I98" s="448">
        <v>37.564183062238271</v>
      </c>
    </row>
    <row r="99" spans="2:9" x14ac:dyDescent="0.25">
      <c r="B99" s="432">
        <v>2044</v>
      </c>
      <c r="C99" s="460">
        <v>4755983.7115319641</v>
      </c>
      <c r="E99" s="407">
        <v>4755983.7115319641</v>
      </c>
      <c r="F99" s="461"/>
      <c r="G99" s="448">
        <v>1.9675232242764906</v>
      </c>
      <c r="H99" s="448">
        <v>9.3204433856646745</v>
      </c>
      <c r="I99" s="448">
        <v>38.952929923253009</v>
      </c>
    </row>
    <row r="100" spans="2:9" x14ac:dyDescent="0.25">
      <c r="B100" s="432">
        <v>2045</v>
      </c>
      <c r="C100" s="460">
        <v>4603311.8476098143</v>
      </c>
      <c r="E100" s="407">
        <v>4603311.8476098143</v>
      </c>
      <c r="F100" s="461"/>
      <c r="G100" s="448">
        <v>2.037669210908831</v>
      </c>
      <c r="H100" s="448">
        <v>9.6527351162381763</v>
      </c>
      <c r="I100" s="448">
        <v>40.341676784267634</v>
      </c>
    </row>
    <row r="101" spans="2:9" x14ac:dyDescent="0.25">
      <c r="B101" s="432">
        <v>2046</v>
      </c>
      <c r="C101" s="460">
        <v>4450260.8457970461</v>
      </c>
      <c r="E101" s="407">
        <v>4450260.8457970461</v>
      </c>
      <c r="F101" s="461"/>
      <c r="G101" s="448">
        <v>2.1078151975411714</v>
      </c>
      <c r="H101" s="448">
        <v>9.9850268468116496</v>
      </c>
      <c r="I101" s="448">
        <v>41.730423645282372</v>
      </c>
    </row>
    <row r="102" spans="2:9" x14ac:dyDescent="0.25">
      <c r="B102" s="432">
        <v>2047</v>
      </c>
      <c r="C102" s="460">
        <v>4297533.7255620081</v>
      </c>
      <c r="E102" s="407">
        <v>4297533.7255620081</v>
      </c>
      <c r="F102" s="461"/>
      <c r="G102" s="448">
        <v>2.1779611841735473</v>
      </c>
      <c r="H102" s="448">
        <v>10.317318577385265</v>
      </c>
      <c r="I102" s="448">
        <v>43.119170506296996</v>
      </c>
    </row>
    <row r="103" spans="2:9" x14ac:dyDescent="0.25">
      <c r="B103" s="432">
        <v>2048</v>
      </c>
      <c r="C103" s="460">
        <v>4145743.1451703901</v>
      </c>
      <c r="E103" s="407">
        <v>4145743.1451703901</v>
      </c>
      <c r="F103" s="461"/>
      <c r="G103" s="448">
        <v>2.2481071708058877</v>
      </c>
      <c r="H103" s="448">
        <v>10.649610307958767</v>
      </c>
      <c r="I103" s="448">
        <v>44.507917367311734</v>
      </c>
    </row>
    <row r="104" spans="2:9" x14ac:dyDescent="0.25">
      <c r="B104" s="432">
        <v>2049</v>
      </c>
      <c r="C104" s="460">
        <v>3995420.2158290031</v>
      </c>
      <c r="E104" s="407">
        <v>3995420.2158290031</v>
      </c>
      <c r="F104" s="461"/>
      <c r="G104" s="448">
        <v>2.3182531574382281</v>
      </c>
      <c r="H104" s="448">
        <v>10.981902038532269</v>
      </c>
      <c r="I104" s="448">
        <v>45.896664228326472</v>
      </c>
    </row>
    <row r="105" spans="2:9" x14ac:dyDescent="0.25">
      <c r="B105" s="432">
        <v>2050</v>
      </c>
      <c r="C105" s="460">
        <v>3847022.5493088844</v>
      </c>
      <c r="E105" s="407">
        <v>3847022.5493088844</v>
      </c>
      <c r="F105" s="461"/>
      <c r="G105" s="448">
        <v>2.3883991440706041</v>
      </c>
      <c r="H105" s="448">
        <v>11.314193769105884</v>
      </c>
      <c r="I105" s="448">
        <v>47.285411089341096</v>
      </c>
    </row>
    <row r="106" spans="2:9" x14ac:dyDescent="0.25">
      <c r="B106" s="432">
        <v>2051</v>
      </c>
      <c r="C106" s="460">
        <v>3700941.6016175626</v>
      </c>
      <c r="E106" s="407">
        <v>3700941.6016175626</v>
      </c>
      <c r="F106" s="461"/>
      <c r="G106" s="448">
        <v>2.4585451307029444</v>
      </c>
      <c r="H106" s="448">
        <v>11.646485499679358</v>
      </c>
      <c r="I106" s="448">
        <v>48.674157950355834</v>
      </c>
    </row>
    <row r="107" spans="2:9" x14ac:dyDescent="0.25">
      <c r="B107" s="432">
        <v>2052</v>
      </c>
      <c r="C107" s="460">
        <v>3557509.3703840519</v>
      </c>
      <c r="E107" s="407">
        <v>3557509.3703840519</v>
      </c>
      <c r="F107" s="461"/>
      <c r="G107" s="448">
        <v>2.5286911173352848</v>
      </c>
      <c r="H107" s="448">
        <v>11.978777230252859</v>
      </c>
      <c r="I107" s="448">
        <v>50.062904811370458</v>
      </c>
    </row>
    <row r="108" spans="2:9" x14ac:dyDescent="0.25">
      <c r="B108" s="432">
        <v>2053</v>
      </c>
      <c r="C108" s="460">
        <v>3417004.4990866962</v>
      </c>
      <c r="E108" s="407">
        <v>3417004.4990866962</v>
      </c>
      <c r="F108" s="461"/>
      <c r="G108" s="448">
        <v>2.5988371039676608</v>
      </c>
      <c r="H108" s="448">
        <v>12.311068960826361</v>
      </c>
      <c r="I108" s="448">
        <v>51.451651672385196</v>
      </c>
    </row>
    <row r="109" spans="2:9" x14ac:dyDescent="0.25">
      <c r="B109" s="432">
        <v>2054</v>
      </c>
      <c r="C109" s="460">
        <v>3279657.8370699915</v>
      </c>
      <c r="E109" s="407">
        <v>3279657.8370699915</v>
      </c>
      <c r="F109" s="461"/>
      <c r="G109" s="448">
        <v>2.6689830906000012</v>
      </c>
      <c r="H109" s="448">
        <v>12.643360691399977</v>
      </c>
      <c r="I109" s="448">
        <v>52.840398533399821</v>
      </c>
    </row>
    <row r="110" spans="2:9" x14ac:dyDescent="0.25">
      <c r="B110" s="422"/>
      <c r="C110" s="429"/>
      <c r="E110" s="429"/>
      <c r="F110" s="430"/>
      <c r="G110" s="429"/>
      <c r="H110" s="429"/>
      <c r="I110" s="429"/>
    </row>
    <row r="111" spans="2:9" x14ac:dyDescent="0.25">
      <c r="B111" s="449" t="s">
        <v>33</v>
      </c>
      <c r="C111" s="462">
        <v>153052679.16338867</v>
      </c>
      <c r="E111" s="452">
        <v>153052679.16338867</v>
      </c>
      <c r="F111" s="463"/>
      <c r="G111" s="454">
        <v>49.555988532926612</v>
      </c>
      <c r="H111" s="454">
        <v>234.75391794251303</v>
      </c>
      <c r="I111" s="454">
        <v>981.10707146060145</v>
      </c>
    </row>
  </sheetData>
  <mergeCells count="2">
    <mergeCell ref="E1:M1"/>
    <mergeCell ref="C77:C7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Notes</vt:lpstr>
      <vt:lpstr>Demand Analysis</vt:lpstr>
      <vt:lpstr>Travel Time NVP</vt:lpstr>
      <vt:lpstr>User Cost NPV</vt:lpstr>
      <vt:lpstr>Reliability</vt:lpstr>
      <vt:lpstr>Freight Operations Benefits</vt:lpstr>
      <vt:lpstr>Air Quality NPV</vt:lpstr>
      <vt:lpstr>Safety NPV</vt:lpstr>
      <vt:lpstr>CostItems</vt:lpstr>
      <vt:lpstr>Cap Costs NPV </vt:lpstr>
      <vt:lpstr>O&amp;M Costs NPV </vt:lpstr>
      <vt:lpstr>CPI Factor Calculations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Bunch</dc:creator>
  <cp:keywords/>
  <dc:description/>
  <cp:lastModifiedBy>Jamie Kendrick</cp:lastModifiedBy>
  <cp:revision/>
  <dcterms:created xsi:type="dcterms:W3CDTF">2015-05-12T15:02:03Z</dcterms:created>
  <dcterms:modified xsi:type="dcterms:W3CDTF">2022-04-20T18:17:52Z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ies>
</file>