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ianFah\OneDrive - City of Durham\Go Durham\Fleet\Replacement Plan\"/>
    </mc:Choice>
  </mc:AlternateContent>
  <bookViews>
    <workbookView xWindow="-20610" yWindow="-120" windowWidth="20730" windowHeight="11040"/>
  </bookViews>
  <sheets>
    <sheet name="Fleet Plan" sheetId="1" r:id="rId1"/>
    <sheet name="Current Fleet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0" i="3" l="1"/>
  <c r="E79" i="3"/>
  <c r="E78" i="3"/>
  <c r="E77" i="3"/>
  <c r="E76" i="3"/>
  <c r="E75" i="3"/>
  <c r="E83" i="3" s="1"/>
  <c r="P73" i="3"/>
  <c r="P72" i="3"/>
  <c r="P71" i="3"/>
  <c r="P70" i="3"/>
  <c r="P69" i="3"/>
  <c r="P68" i="3"/>
  <c r="P67" i="3"/>
  <c r="P66" i="3"/>
  <c r="E66" i="3"/>
  <c r="E65" i="3"/>
  <c r="E64" i="3"/>
  <c r="E72" i="3" s="1"/>
  <c r="P63" i="3"/>
  <c r="U62" i="3"/>
  <c r="R62" i="3"/>
  <c r="S62" i="3" s="1"/>
  <c r="W62" i="3" s="1"/>
  <c r="M62" i="3"/>
  <c r="N62" i="3" s="1"/>
  <c r="O62" i="3" s="1"/>
  <c r="V62" i="3" s="1"/>
  <c r="U61" i="3"/>
  <c r="R61" i="3"/>
  <c r="S61" i="3" s="1"/>
  <c r="W61" i="3" s="1"/>
  <c r="M61" i="3"/>
  <c r="N61" i="3" s="1"/>
  <c r="O61" i="3" s="1"/>
  <c r="V61" i="3" s="1"/>
  <c r="U60" i="3"/>
  <c r="R60" i="3"/>
  <c r="S60" i="3" s="1"/>
  <c r="W60" i="3" s="1"/>
  <c r="M60" i="3"/>
  <c r="N60" i="3" s="1"/>
  <c r="O60" i="3" s="1"/>
  <c r="V60" i="3" s="1"/>
  <c r="U59" i="3"/>
  <c r="R59" i="3"/>
  <c r="S59" i="3" s="1"/>
  <c r="M59" i="3"/>
  <c r="N59" i="3" s="1"/>
  <c r="O59" i="3" s="1"/>
  <c r="V59" i="3" s="1"/>
  <c r="U58" i="3"/>
  <c r="R58" i="3"/>
  <c r="S58" i="3" s="1"/>
  <c r="W58" i="3" s="1"/>
  <c r="M58" i="3"/>
  <c r="N58" i="3" s="1"/>
  <c r="O58" i="3" s="1"/>
  <c r="V58" i="3" s="1"/>
  <c r="U57" i="3"/>
  <c r="R57" i="3"/>
  <c r="S57" i="3" s="1"/>
  <c r="W57" i="3" s="1"/>
  <c r="M57" i="3"/>
  <c r="N57" i="3" s="1"/>
  <c r="O57" i="3" s="1"/>
  <c r="V57" i="3" s="1"/>
  <c r="U56" i="3"/>
  <c r="R56" i="3"/>
  <c r="S56" i="3" s="1"/>
  <c r="W56" i="3" s="1"/>
  <c r="M56" i="3"/>
  <c r="N56" i="3" s="1"/>
  <c r="O56" i="3" s="1"/>
  <c r="V56" i="3" s="1"/>
  <c r="U55" i="3"/>
  <c r="R55" i="3"/>
  <c r="S55" i="3" s="1"/>
  <c r="M55" i="3"/>
  <c r="N55" i="3" s="1"/>
  <c r="O55" i="3" s="1"/>
  <c r="V55" i="3" s="1"/>
  <c r="U54" i="3"/>
  <c r="R54" i="3"/>
  <c r="S54" i="3" s="1"/>
  <c r="W54" i="3" s="1"/>
  <c r="M54" i="3"/>
  <c r="N54" i="3" s="1"/>
  <c r="O54" i="3" s="1"/>
  <c r="V54" i="3" s="1"/>
  <c r="U53" i="3"/>
  <c r="R53" i="3"/>
  <c r="S53" i="3" s="1"/>
  <c r="W53" i="3" s="1"/>
  <c r="M53" i="3"/>
  <c r="N53" i="3" s="1"/>
  <c r="O53" i="3" s="1"/>
  <c r="V53" i="3" s="1"/>
  <c r="U52" i="3"/>
  <c r="R52" i="3"/>
  <c r="S52" i="3" s="1"/>
  <c r="W52" i="3" s="1"/>
  <c r="M52" i="3"/>
  <c r="N52" i="3" s="1"/>
  <c r="O52" i="3" s="1"/>
  <c r="V52" i="3" s="1"/>
  <c r="U51" i="3"/>
  <c r="R51" i="3"/>
  <c r="S51" i="3" s="1"/>
  <c r="M51" i="3"/>
  <c r="N51" i="3" s="1"/>
  <c r="O51" i="3" s="1"/>
  <c r="V51" i="3" s="1"/>
  <c r="U50" i="3"/>
  <c r="R50" i="3"/>
  <c r="S50" i="3" s="1"/>
  <c r="W50" i="3" s="1"/>
  <c r="M50" i="3"/>
  <c r="N50" i="3" s="1"/>
  <c r="O50" i="3" s="1"/>
  <c r="V50" i="3" s="1"/>
  <c r="U49" i="3"/>
  <c r="R49" i="3"/>
  <c r="S49" i="3" s="1"/>
  <c r="W49" i="3" s="1"/>
  <c r="M49" i="3"/>
  <c r="N49" i="3" s="1"/>
  <c r="O49" i="3" s="1"/>
  <c r="V49" i="3" s="1"/>
  <c r="U48" i="3"/>
  <c r="R48" i="3"/>
  <c r="S48" i="3" s="1"/>
  <c r="W48" i="3" s="1"/>
  <c r="M48" i="3"/>
  <c r="N48" i="3" s="1"/>
  <c r="O48" i="3" s="1"/>
  <c r="V48" i="3" s="1"/>
  <c r="U47" i="3"/>
  <c r="R47" i="3"/>
  <c r="S47" i="3" s="1"/>
  <c r="M47" i="3"/>
  <c r="N47" i="3" s="1"/>
  <c r="O47" i="3" s="1"/>
  <c r="V47" i="3" s="1"/>
  <c r="U46" i="3"/>
  <c r="R46" i="3"/>
  <c r="S46" i="3" s="1"/>
  <c r="W46" i="3" s="1"/>
  <c r="M46" i="3"/>
  <c r="N46" i="3" s="1"/>
  <c r="O46" i="3" s="1"/>
  <c r="V46" i="3" s="1"/>
  <c r="U45" i="3"/>
  <c r="R45" i="3"/>
  <c r="S45" i="3" s="1"/>
  <c r="W45" i="3" s="1"/>
  <c r="M45" i="3"/>
  <c r="N45" i="3" s="1"/>
  <c r="O45" i="3" s="1"/>
  <c r="V45" i="3" s="1"/>
  <c r="U44" i="3"/>
  <c r="R44" i="3"/>
  <c r="S44" i="3" s="1"/>
  <c r="W44" i="3" s="1"/>
  <c r="M44" i="3"/>
  <c r="N44" i="3" s="1"/>
  <c r="O44" i="3" s="1"/>
  <c r="V44" i="3" s="1"/>
  <c r="U43" i="3"/>
  <c r="R43" i="3"/>
  <c r="S43" i="3" s="1"/>
  <c r="M43" i="3"/>
  <c r="N43" i="3" s="1"/>
  <c r="O43" i="3" s="1"/>
  <c r="V43" i="3" s="1"/>
  <c r="U42" i="3"/>
  <c r="R42" i="3"/>
  <c r="S42" i="3" s="1"/>
  <c r="W42" i="3" s="1"/>
  <c r="M42" i="3"/>
  <c r="N42" i="3" s="1"/>
  <c r="O42" i="3" s="1"/>
  <c r="V42" i="3" s="1"/>
  <c r="U41" i="3"/>
  <c r="R41" i="3"/>
  <c r="S41" i="3" s="1"/>
  <c r="W41" i="3" s="1"/>
  <c r="M41" i="3"/>
  <c r="N41" i="3" s="1"/>
  <c r="O41" i="3" s="1"/>
  <c r="V41" i="3" s="1"/>
  <c r="U40" i="3"/>
  <c r="R40" i="3"/>
  <c r="S40" i="3" s="1"/>
  <c r="W40" i="3" s="1"/>
  <c r="M40" i="3"/>
  <c r="N40" i="3" s="1"/>
  <c r="O40" i="3" s="1"/>
  <c r="V40" i="3" s="1"/>
  <c r="U39" i="3"/>
  <c r="R39" i="3"/>
  <c r="S39" i="3" s="1"/>
  <c r="M39" i="3"/>
  <c r="N39" i="3" s="1"/>
  <c r="O39" i="3" s="1"/>
  <c r="V39" i="3" s="1"/>
  <c r="U38" i="3"/>
  <c r="R38" i="3"/>
  <c r="S38" i="3" s="1"/>
  <c r="W38" i="3" s="1"/>
  <c r="M38" i="3"/>
  <c r="N38" i="3" s="1"/>
  <c r="O38" i="3" s="1"/>
  <c r="V38" i="3" s="1"/>
  <c r="U37" i="3"/>
  <c r="R37" i="3"/>
  <c r="S37" i="3" s="1"/>
  <c r="W37" i="3" s="1"/>
  <c r="M37" i="3"/>
  <c r="N37" i="3" s="1"/>
  <c r="O37" i="3" s="1"/>
  <c r="V37" i="3" s="1"/>
  <c r="U36" i="3"/>
  <c r="R36" i="3"/>
  <c r="S36" i="3" s="1"/>
  <c r="W36" i="3" s="1"/>
  <c r="M36" i="3"/>
  <c r="N36" i="3" s="1"/>
  <c r="O36" i="3" s="1"/>
  <c r="V36" i="3" s="1"/>
  <c r="U35" i="3"/>
  <c r="S35" i="3"/>
  <c r="W35" i="3" s="1"/>
  <c r="R35" i="3"/>
  <c r="M35" i="3"/>
  <c r="N35" i="3" s="1"/>
  <c r="O35" i="3" s="1"/>
  <c r="V35" i="3" s="1"/>
  <c r="U34" i="3"/>
  <c r="S34" i="3"/>
  <c r="W34" i="3" s="1"/>
  <c r="R34" i="3"/>
  <c r="M34" i="3"/>
  <c r="N34" i="3" s="1"/>
  <c r="O34" i="3" s="1"/>
  <c r="V34" i="3" s="1"/>
  <c r="U33" i="3"/>
  <c r="S33" i="3"/>
  <c r="W33" i="3" s="1"/>
  <c r="R33" i="3"/>
  <c r="M33" i="3"/>
  <c r="N33" i="3" s="1"/>
  <c r="O33" i="3" s="1"/>
  <c r="V33" i="3" s="1"/>
  <c r="U32" i="3"/>
  <c r="S32" i="3"/>
  <c r="W32" i="3" s="1"/>
  <c r="R32" i="3"/>
  <c r="M32" i="3"/>
  <c r="N32" i="3" s="1"/>
  <c r="O32" i="3" s="1"/>
  <c r="V32" i="3" s="1"/>
  <c r="U31" i="3"/>
  <c r="S31" i="3"/>
  <c r="W31" i="3" s="1"/>
  <c r="R31" i="3"/>
  <c r="M31" i="3"/>
  <c r="N31" i="3" s="1"/>
  <c r="O31" i="3" s="1"/>
  <c r="V31" i="3" s="1"/>
  <c r="U30" i="3"/>
  <c r="S30" i="3"/>
  <c r="W30" i="3" s="1"/>
  <c r="R30" i="3"/>
  <c r="M30" i="3"/>
  <c r="N30" i="3" s="1"/>
  <c r="O30" i="3" s="1"/>
  <c r="V30" i="3" s="1"/>
  <c r="U29" i="3"/>
  <c r="S29" i="3"/>
  <c r="W29" i="3" s="1"/>
  <c r="R29" i="3"/>
  <c r="M29" i="3"/>
  <c r="N29" i="3" s="1"/>
  <c r="O29" i="3" s="1"/>
  <c r="V29" i="3" s="1"/>
  <c r="R28" i="3"/>
  <c r="S28" i="3" s="1"/>
  <c r="W28" i="3" s="1"/>
  <c r="M28" i="3"/>
  <c r="N28" i="3" s="1"/>
  <c r="O28" i="3" s="1"/>
  <c r="V28" i="3" s="1"/>
  <c r="S27" i="3"/>
  <c r="W27" i="3" s="1"/>
  <c r="R27" i="3"/>
  <c r="M27" i="3"/>
  <c r="N27" i="3" s="1"/>
  <c r="O27" i="3" s="1"/>
  <c r="V27" i="3" s="1"/>
  <c r="R26" i="3"/>
  <c r="S26" i="3" s="1"/>
  <c r="W26" i="3" s="1"/>
  <c r="M26" i="3"/>
  <c r="N26" i="3" s="1"/>
  <c r="O26" i="3" s="1"/>
  <c r="V26" i="3" s="1"/>
  <c r="W25" i="3"/>
  <c r="S25" i="3"/>
  <c r="R25" i="3"/>
  <c r="M25" i="3"/>
  <c r="N25" i="3" s="1"/>
  <c r="O25" i="3" s="1"/>
  <c r="V25" i="3" s="1"/>
  <c r="R24" i="3"/>
  <c r="S24" i="3" s="1"/>
  <c r="W24" i="3" s="1"/>
  <c r="M24" i="3"/>
  <c r="N24" i="3" s="1"/>
  <c r="O24" i="3" s="1"/>
  <c r="V24" i="3" s="1"/>
  <c r="S23" i="3"/>
  <c r="W23" i="3" s="1"/>
  <c r="R23" i="3"/>
  <c r="M23" i="3"/>
  <c r="N23" i="3" s="1"/>
  <c r="O23" i="3" s="1"/>
  <c r="V23" i="3" s="1"/>
  <c r="R22" i="3"/>
  <c r="S22" i="3" s="1"/>
  <c r="W22" i="3" s="1"/>
  <c r="M22" i="3"/>
  <c r="N22" i="3" s="1"/>
  <c r="O22" i="3" s="1"/>
  <c r="V22" i="3" s="1"/>
  <c r="W21" i="3"/>
  <c r="S21" i="3"/>
  <c r="R21" i="3"/>
  <c r="M21" i="3"/>
  <c r="N21" i="3" s="1"/>
  <c r="O21" i="3" s="1"/>
  <c r="V21" i="3" s="1"/>
  <c r="R20" i="3"/>
  <c r="S20" i="3" s="1"/>
  <c r="W20" i="3" s="1"/>
  <c r="M20" i="3"/>
  <c r="N20" i="3" s="1"/>
  <c r="O20" i="3" s="1"/>
  <c r="V20" i="3" s="1"/>
  <c r="S19" i="3"/>
  <c r="W19" i="3" s="1"/>
  <c r="R19" i="3"/>
  <c r="M19" i="3"/>
  <c r="N19" i="3" s="1"/>
  <c r="O19" i="3" s="1"/>
  <c r="V19" i="3" s="1"/>
  <c r="R18" i="3"/>
  <c r="S18" i="3" s="1"/>
  <c r="W18" i="3" s="1"/>
  <c r="M18" i="3"/>
  <c r="N18" i="3" s="1"/>
  <c r="O18" i="3" s="1"/>
  <c r="V18" i="3" s="1"/>
  <c r="W17" i="3"/>
  <c r="S17" i="3"/>
  <c r="R17" i="3"/>
  <c r="M17" i="3"/>
  <c r="N17" i="3" s="1"/>
  <c r="O17" i="3" s="1"/>
  <c r="V17" i="3" s="1"/>
  <c r="R16" i="3"/>
  <c r="S16" i="3" s="1"/>
  <c r="W16" i="3" s="1"/>
  <c r="M16" i="3"/>
  <c r="N16" i="3" s="1"/>
  <c r="O16" i="3" s="1"/>
  <c r="V16" i="3" s="1"/>
  <c r="S15" i="3"/>
  <c r="W15" i="3" s="1"/>
  <c r="R15" i="3"/>
  <c r="M15" i="3"/>
  <c r="N15" i="3" s="1"/>
  <c r="O15" i="3" s="1"/>
  <c r="V15" i="3" s="1"/>
  <c r="R14" i="3"/>
  <c r="S14" i="3" s="1"/>
  <c r="W14" i="3" s="1"/>
  <c r="M14" i="3"/>
  <c r="N14" i="3" s="1"/>
  <c r="O14" i="3" s="1"/>
  <c r="V14" i="3" s="1"/>
  <c r="W13" i="3"/>
  <c r="S13" i="3"/>
  <c r="R13" i="3"/>
  <c r="M13" i="3"/>
  <c r="N13" i="3" s="1"/>
  <c r="O13" i="3" s="1"/>
  <c r="V13" i="3" s="1"/>
  <c r="R12" i="3"/>
  <c r="S12" i="3" s="1"/>
  <c r="W12" i="3" s="1"/>
  <c r="M12" i="3"/>
  <c r="N12" i="3" s="1"/>
  <c r="O12" i="3" s="1"/>
  <c r="V12" i="3" s="1"/>
  <c r="S11" i="3"/>
  <c r="W11" i="3" s="1"/>
  <c r="R11" i="3"/>
  <c r="M11" i="3"/>
  <c r="N11" i="3" s="1"/>
  <c r="O11" i="3" s="1"/>
  <c r="V11" i="3" s="1"/>
  <c r="R10" i="3"/>
  <c r="S10" i="3" s="1"/>
  <c r="W10" i="3" s="1"/>
  <c r="M10" i="3"/>
  <c r="N10" i="3" s="1"/>
  <c r="O10" i="3" s="1"/>
  <c r="V10" i="3" s="1"/>
  <c r="W9" i="3"/>
  <c r="S9" i="3"/>
  <c r="R9" i="3"/>
  <c r="M9" i="3"/>
  <c r="N9" i="3" s="1"/>
  <c r="O9" i="3" s="1"/>
  <c r="V9" i="3" s="1"/>
  <c r="R8" i="3"/>
  <c r="S8" i="3" s="1"/>
  <c r="W8" i="3" s="1"/>
  <c r="M8" i="3"/>
  <c r="N8" i="3" s="1"/>
  <c r="O8" i="3" s="1"/>
  <c r="V8" i="3" s="1"/>
  <c r="S7" i="3"/>
  <c r="W7" i="3" s="1"/>
  <c r="R7" i="3"/>
  <c r="M7" i="3"/>
  <c r="N7" i="3" s="1"/>
  <c r="O7" i="3" s="1"/>
  <c r="V7" i="3" s="1"/>
  <c r="R6" i="3"/>
  <c r="S6" i="3" s="1"/>
  <c r="W6" i="3" s="1"/>
  <c r="M6" i="3"/>
  <c r="N6" i="3" s="1"/>
  <c r="O6" i="3" s="1"/>
  <c r="V6" i="3" s="1"/>
  <c r="R5" i="3"/>
  <c r="S5" i="3" s="1"/>
  <c r="W5" i="3" s="1"/>
  <c r="M5" i="3"/>
  <c r="N5" i="3" s="1"/>
  <c r="O5" i="3" s="1"/>
  <c r="V5" i="3" s="1"/>
  <c r="E68" i="3" l="1"/>
  <c r="E70" i="3" s="1"/>
  <c r="E71" i="3" s="1"/>
  <c r="M63" i="3"/>
  <c r="W39" i="3"/>
  <c r="W43" i="3"/>
  <c r="W47" i="3"/>
  <c r="W51" i="3"/>
  <c r="W55" i="3"/>
  <c r="W59" i="3"/>
  <c r="F35" i="1" l="1"/>
  <c r="F34" i="1"/>
  <c r="F36" i="1" s="1"/>
  <c r="F33" i="1"/>
  <c r="J16" i="1"/>
  <c r="J19" i="1" s="1"/>
  <c r="J20" i="1" s="1"/>
  <c r="I33" i="1" l="1"/>
  <c r="G31" i="1"/>
  <c r="G29" i="1"/>
  <c r="H29" i="1" s="1"/>
  <c r="I29" i="1" s="1"/>
  <c r="J29" i="1" s="1"/>
  <c r="J33" i="1" s="1"/>
  <c r="G28" i="1"/>
  <c r="H28" i="1" s="1"/>
  <c r="I28" i="1" s="1"/>
  <c r="J28" i="1" s="1"/>
  <c r="J32" i="1" s="1"/>
  <c r="G16" i="1"/>
  <c r="H16" i="1"/>
  <c r="I16" i="1"/>
  <c r="F16" i="1"/>
  <c r="E16" i="1"/>
  <c r="H31" i="1" l="1"/>
  <c r="G35" i="1"/>
  <c r="G33" i="1"/>
  <c r="H33" i="1"/>
  <c r="H30" i="1"/>
  <c r="G34" i="1"/>
  <c r="E19" i="1"/>
  <c r="E20" i="1" s="1"/>
  <c r="F19" i="1"/>
  <c r="F20" i="1" s="1"/>
  <c r="G19" i="1"/>
  <c r="G20" i="1" s="1"/>
  <c r="H19" i="1"/>
  <c r="H20" i="1" s="1"/>
  <c r="I19" i="1"/>
  <c r="I20" i="1" s="1"/>
  <c r="I31" i="1" l="1"/>
  <c r="H35" i="1"/>
  <c r="I30" i="1"/>
  <c r="H34" i="1"/>
  <c r="G32" i="1"/>
  <c r="G36" i="1" s="1"/>
  <c r="I35" i="1" l="1"/>
  <c r="J31" i="1"/>
  <c r="J35" i="1" s="1"/>
  <c r="I34" i="1"/>
  <c r="I36" i="1" s="1"/>
  <c r="J30" i="1"/>
  <c r="J34" i="1" s="1"/>
  <c r="J36" i="1" s="1"/>
  <c r="H32" i="1"/>
  <c r="H36" i="1" s="1"/>
  <c r="I32" i="1"/>
</calcChain>
</file>

<file path=xl/sharedStrings.xml><?xml version="1.0" encoding="utf-8"?>
<sst xmlns="http://schemas.openxmlformats.org/spreadsheetml/2006/main" count="494" uniqueCount="229">
  <si>
    <t>Model</t>
  </si>
  <si>
    <t>Year</t>
  </si>
  <si>
    <t>Year Fully Depreciated</t>
  </si>
  <si>
    <t>Average Miles</t>
  </si>
  <si>
    <t>Gillig 40' Low Floor Bus</t>
  </si>
  <si>
    <t>Gillig 40' Low Floor Hybrid Bus</t>
  </si>
  <si>
    <t>Gillig 40' Low Floor Electric Bus</t>
  </si>
  <si>
    <t>New 40' Low Floor Electric Bus</t>
  </si>
  <si>
    <t>New 40' Low Floor Diesel Bus</t>
  </si>
  <si>
    <t>FY 2023</t>
  </si>
  <si>
    <t>FY 2024</t>
  </si>
  <si>
    <t>FY 2025</t>
  </si>
  <si>
    <t>FY 2026</t>
  </si>
  <si>
    <t>TOTAL</t>
  </si>
  <si>
    <t>Peak Requirement</t>
  </si>
  <si>
    <t>Contingency</t>
  </si>
  <si>
    <t>Spares</t>
  </si>
  <si>
    <t>Spare Ratio</t>
  </si>
  <si>
    <t>-</t>
  </si>
  <si>
    <t>Number of Electric Buses Added</t>
  </si>
  <si>
    <t>Number of Diesel Buses Added</t>
  </si>
  <si>
    <t>Number of Buses Disposed</t>
  </si>
  <si>
    <t>Number of Buses Repowered</t>
  </si>
  <si>
    <t>Number of Buses Refurbished</t>
  </si>
  <si>
    <t>Diesel Bus Price</t>
  </si>
  <si>
    <t>Electric Bus Price</t>
  </si>
  <si>
    <t>Fleet Plan Detail</t>
  </si>
  <si>
    <t>Bus Repower Price</t>
  </si>
  <si>
    <t>Bus Refurbishment Price</t>
  </si>
  <si>
    <t>Total Repower Cost</t>
  </si>
  <si>
    <t>New Diesel Bus Total Cost</t>
  </si>
  <si>
    <t>New Electric Bus Total Cost</t>
  </si>
  <si>
    <t>Total Refurbishment Cost</t>
  </si>
  <si>
    <t>TOTAL COST</t>
  </si>
  <si>
    <t>FY 2027</t>
  </si>
  <si>
    <t>FY 2028</t>
  </si>
  <si>
    <t>Assumptions</t>
  </si>
  <si>
    <t>GODURHAM FIXED-ROUTE FLEET PLAN (FY23 - FY 28)</t>
  </si>
  <si>
    <t>Assuming that we do not retire the 2008 buses</t>
  </si>
  <si>
    <t xml:space="preserve">until FY 2025, and do not begin retiring the </t>
  </si>
  <si>
    <t>2010 buses until FY 2028 due to uncertainty</t>
  </si>
  <si>
    <t>of required electric/non-electric ratio.</t>
  </si>
  <si>
    <t xml:space="preserve">Assuming that we operate 100% service in </t>
  </si>
  <si>
    <t>FY 2024.</t>
  </si>
  <si>
    <t>Electric Bus unit price based on revised price</t>
  </si>
  <si>
    <t>of buses currently on order.</t>
  </si>
  <si>
    <t>Repower unit price based on current contract.</t>
  </si>
  <si>
    <t>Average inflation rate of 3.5%.</t>
  </si>
  <si>
    <t>Replacement of the 2010 buses is conservative</t>
  </si>
  <si>
    <t>and may require adjustment in the next year.</t>
  </si>
  <si>
    <t>Contingency values may require adjustment</t>
  </si>
  <si>
    <t>based on requirements of electric/non-electric</t>
  </si>
  <si>
    <t>ratio.</t>
  </si>
  <si>
    <t>Rolling Stock Status Report - GoDurham</t>
  </si>
  <si>
    <t>Last Updated:</t>
  </si>
  <si>
    <t>Veh #</t>
  </si>
  <si>
    <t>Veh Year</t>
  </si>
  <si>
    <t>Make/Model</t>
  </si>
  <si>
    <t>VIN #</t>
  </si>
  <si>
    <t>Plate #</t>
  </si>
  <si>
    <t>Storage Location</t>
  </si>
  <si>
    <t>Date in Service</t>
  </si>
  <si>
    <t>FY Year Repowered</t>
  </si>
  <si>
    <t>FY Year Refurbished</t>
  </si>
  <si>
    <t>Repl. Year</t>
  </si>
  <si>
    <t>Status</t>
  </si>
  <si>
    <t>Fed Useful Life (yr)</t>
  </si>
  <si>
    <t>Actual Service (yr)</t>
  </si>
  <si>
    <t>Remaining yrs</t>
  </si>
  <si>
    <t>Remaining % based on years</t>
  </si>
  <si>
    <t>Actual Mileage</t>
  </si>
  <si>
    <t>Fed Useful Life (mi)</t>
  </si>
  <si>
    <t>Remaining Miles</t>
  </si>
  <si>
    <t>Remaining % based on miles</t>
  </si>
  <si>
    <t>Purchase Price</t>
  </si>
  <si>
    <t>Total Federal Share</t>
  </si>
  <si>
    <t>Remaining Fed Share based on yrs</t>
  </si>
  <si>
    <t>Remaining Fed Share based on miles</t>
  </si>
  <si>
    <t>Gillig 40Ft Low-Floor Bus</t>
  </si>
  <si>
    <t>15GGD271781078979</t>
  </si>
  <si>
    <t>65658V</t>
  </si>
  <si>
    <t>1820 N Miami Blvd, Durham, NC 27704</t>
  </si>
  <si>
    <t>FY23</t>
  </si>
  <si>
    <t>Active</t>
  </si>
  <si>
    <t>15GGD271381078980</t>
  </si>
  <si>
    <t>65657V</t>
  </si>
  <si>
    <t>15GGD271581078981</t>
  </si>
  <si>
    <t>65656V</t>
  </si>
  <si>
    <t>15GGD271781078982</t>
  </si>
  <si>
    <t>65655V</t>
  </si>
  <si>
    <t>15GGD271981078983</t>
  </si>
  <si>
    <t>65659V</t>
  </si>
  <si>
    <t>15GGD271081078984</t>
  </si>
  <si>
    <t>65660V</t>
  </si>
  <si>
    <t>Gillig 40Ft Low-Floor Hybrid Bus</t>
  </si>
  <si>
    <t>15GGD301891177425</t>
  </si>
  <si>
    <t>65669V</t>
  </si>
  <si>
    <t>FY24-26</t>
  </si>
  <si>
    <t>15GGD301X91177426</t>
  </si>
  <si>
    <t>65666V</t>
  </si>
  <si>
    <t>15GGD301191177427</t>
  </si>
  <si>
    <t>65665V</t>
  </si>
  <si>
    <t>15GGD301391177428</t>
  </si>
  <si>
    <t>65664V</t>
  </si>
  <si>
    <t>15GGD301591177429</t>
  </si>
  <si>
    <t>65663V</t>
  </si>
  <si>
    <t>15GGD301191177430</t>
  </si>
  <si>
    <t>65672V</t>
  </si>
  <si>
    <t>15GGD301391177431</t>
  </si>
  <si>
    <t>65653V</t>
  </si>
  <si>
    <t>15GGD301591177432</t>
  </si>
  <si>
    <t>27355V</t>
  </si>
  <si>
    <t>15GGD301991177434</t>
  </si>
  <si>
    <t>65674V</t>
  </si>
  <si>
    <t>15GGD301291177436</t>
  </si>
  <si>
    <t>65670V</t>
  </si>
  <si>
    <t>15GGD301491177437</t>
  </si>
  <si>
    <t>65652V</t>
  </si>
  <si>
    <t>15GGD301691177438</t>
  </si>
  <si>
    <t>65651V</t>
  </si>
  <si>
    <t>15GGD301891177439</t>
  </si>
  <si>
    <t>65650V</t>
  </si>
  <si>
    <t>15GGD3010A1177440</t>
  </si>
  <si>
    <t>65613V</t>
  </si>
  <si>
    <t>15GGD3012A1177441</t>
  </si>
  <si>
    <t>65610V</t>
  </si>
  <si>
    <t>15GGD3014A1177442</t>
  </si>
  <si>
    <t>65611V</t>
  </si>
  <si>
    <t>15GGD3016A1177443</t>
  </si>
  <si>
    <t>65612V</t>
  </si>
  <si>
    <t>15GGD3018A1177444</t>
  </si>
  <si>
    <t>65607V</t>
  </si>
  <si>
    <t>15GGD3016C1180444</t>
  </si>
  <si>
    <t>65661V</t>
  </si>
  <si>
    <t>FY27</t>
  </si>
  <si>
    <t>15GGD3018C1180445</t>
  </si>
  <si>
    <t>65662V</t>
  </si>
  <si>
    <t>15GGD301XC1180446</t>
  </si>
  <si>
    <t>65603V</t>
  </si>
  <si>
    <t>15GGD3011C1180447</t>
  </si>
  <si>
    <t>65604V</t>
  </si>
  <si>
    <t>15GGD3013C1180448</t>
  </si>
  <si>
    <t>65605V</t>
  </si>
  <si>
    <t>15GGD2712H3189881</t>
  </si>
  <si>
    <t>98377V</t>
  </si>
  <si>
    <t>15GGD2712H3189882</t>
  </si>
  <si>
    <t>98378V</t>
  </si>
  <si>
    <t>15GGD2712H3189883</t>
  </si>
  <si>
    <t>98379V</t>
  </si>
  <si>
    <t>15GGD2712H3189884</t>
  </si>
  <si>
    <t>98396V</t>
  </si>
  <si>
    <t>15GGD2712H3189885</t>
  </si>
  <si>
    <t>98380V</t>
  </si>
  <si>
    <t>15GGD2712H3189886</t>
  </si>
  <si>
    <t>98381V</t>
  </si>
  <si>
    <t>15GGD2712H3189887</t>
  </si>
  <si>
    <t>98382V</t>
  </si>
  <si>
    <t>15GGD2712H3189888</t>
  </si>
  <si>
    <t>98383V</t>
  </si>
  <si>
    <t>15GGD2712H3189889</t>
  </si>
  <si>
    <t>98384V</t>
  </si>
  <si>
    <t>15GGD2712H3189890</t>
  </si>
  <si>
    <t>98386V</t>
  </si>
  <si>
    <t>15GGD2712H3189891</t>
  </si>
  <si>
    <t>98387V</t>
  </si>
  <si>
    <t>15GGD2712H3189892</t>
  </si>
  <si>
    <t>98524V</t>
  </si>
  <si>
    <t>15GGD271XJ3189990</t>
  </si>
  <si>
    <t>14386W</t>
  </si>
  <si>
    <t>15GGD2711J3189991</t>
  </si>
  <si>
    <t>14385W</t>
  </si>
  <si>
    <t>15GGD2713J3189992</t>
  </si>
  <si>
    <t>14384W</t>
  </si>
  <si>
    <t>15GGD2714K3190859</t>
  </si>
  <si>
    <t>25400W</t>
  </si>
  <si>
    <t>15GGD2710K3190860</t>
  </si>
  <si>
    <t>25402W</t>
  </si>
  <si>
    <t>15GGD2717K3193464</t>
  </si>
  <si>
    <t>27270W</t>
  </si>
  <si>
    <t>15GGD2719K3193465</t>
  </si>
  <si>
    <t>27274W</t>
  </si>
  <si>
    <t>Gillig 40Ft Low-Floor Electric Bus</t>
  </si>
  <si>
    <t>15GGD2817M3194051</t>
  </si>
  <si>
    <t>40749W</t>
  </si>
  <si>
    <t>15GGD2819M3194052</t>
  </si>
  <si>
    <t>40970W</t>
  </si>
  <si>
    <t>15GGD2716M3196536</t>
  </si>
  <si>
    <t>45730W</t>
  </si>
  <si>
    <t>15GGD2718M3196537</t>
  </si>
  <si>
    <t>45729W</t>
  </si>
  <si>
    <t>15GGD271XM3196538</t>
  </si>
  <si>
    <t>45728W</t>
  </si>
  <si>
    <t>15GGD2711M3196539</t>
  </si>
  <si>
    <t>45727W</t>
  </si>
  <si>
    <t>15GGD2718M3196540</t>
  </si>
  <si>
    <t>45726W</t>
  </si>
  <si>
    <t>15GGD271XM3196541</t>
  </si>
  <si>
    <t>45725W</t>
  </si>
  <si>
    <t>15GGD2711M3196542</t>
  </si>
  <si>
    <t>45724W</t>
  </si>
  <si>
    <t>15GGD2713M3196543</t>
  </si>
  <si>
    <t>45723W</t>
  </si>
  <si>
    <t>Average Age:</t>
  </si>
  <si>
    <t>Average Mi:</t>
  </si>
  <si>
    <t>Active Vehicles</t>
  </si>
  <si>
    <t>US Average:</t>
  </si>
  <si>
    <t>Inactive Vehicles</t>
  </si>
  <si>
    <t>Retired Vehicles</t>
  </si>
  <si>
    <t>2008 Models:</t>
  </si>
  <si>
    <t>2010 Models:</t>
  </si>
  <si>
    <t>TOTAL DAILY FLEET</t>
  </si>
  <si>
    <t>2012 Models:</t>
  </si>
  <si>
    <t>2017 Models:</t>
  </si>
  <si>
    <t>2018 Models:</t>
  </si>
  <si>
    <t>2019 Models:</t>
  </si>
  <si>
    <t>Total Vehicles on Lot</t>
  </si>
  <si>
    <t>2021 Models (EV):</t>
  </si>
  <si>
    <t>2021 Models:</t>
  </si>
  <si>
    <t>Active Vehicles by Model</t>
  </si>
  <si>
    <t>2008 Low-Floor</t>
  </si>
  <si>
    <t>2010 Low-Floor Hybrid</t>
  </si>
  <si>
    <t>2012 Low-Floor Hybrid</t>
  </si>
  <si>
    <t>2017 Low-Floor</t>
  </si>
  <si>
    <t>2018 Low-Floor</t>
  </si>
  <si>
    <t>2019 Low-Floor</t>
  </si>
  <si>
    <t>2021 Low-Floor BEB</t>
  </si>
  <si>
    <t>2021 Low-Floor Bus</t>
  </si>
  <si>
    <t>Inactive</t>
  </si>
  <si>
    <t>Updated: January 4,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</si>
</sst>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[$-409]mmmm\ d\,\ yyyy;@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left"/>
    </xf>
    <xf numFmtId="0" fontId="0" fillId="4" borderId="4" xfId="0" applyFill="1" applyBorder="1"/>
    <xf numFmtId="0" fontId="0" fillId="4" borderId="5" xfId="0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horizontal="left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4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applyBorder="1"/>
    <xf numFmtId="0" fontId="0" fillId="0" borderId="19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1" xfId="0" applyBorder="1"/>
    <xf numFmtId="0" fontId="0" fillId="0" borderId="21" xfId="0" applyBorder="1" applyAlignment="1">
      <alignment horizontal="center"/>
    </xf>
    <xf numFmtId="1" fontId="0" fillId="0" borderId="21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3" xfId="0" applyBorder="1"/>
    <xf numFmtId="0" fontId="0" fillId="0" borderId="23" xfId="0" applyBorder="1" applyAlignment="1">
      <alignment horizontal="center"/>
    </xf>
    <xf numFmtId="14" fontId="0" fillId="0" borderId="23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9" fontId="0" fillId="0" borderId="23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1" fillId="2" borderId="25" xfId="0" applyFont="1" applyFill="1" applyBorder="1" applyAlignment="1">
      <alignment horizontal="right"/>
    </xf>
    <xf numFmtId="2" fontId="1" fillId="5" borderId="26" xfId="0" applyNumberFormat="1" applyFont="1" applyFill="1" applyBorder="1" applyAlignment="1">
      <alignment horizontal="center"/>
    </xf>
    <xf numFmtId="3" fontId="1" fillId="5" borderId="14" xfId="0" applyNumberFormat="1" applyFont="1" applyFill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 applyAlignment="1">
      <alignment horizontal="center"/>
    </xf>
    <xf numFmtId="166" fontId="0" fillId="0" borderId="0" xfId="0" applyNumberFormat="1"/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activeCell="J1" sqref="J1"/>
    </sheetView>
  </sheetViews>
  <sheetFormatPr defaultRowHeight="15" x14ac:dyDescent="0.25"/>
  <cols>
    <col min="1" max="1" width="33.140625" customWidth="1"/>
    <col min="2" max="2" width="9.140625" style="1"/>
    <col min="3" max="3" width="13.7109375" style="1" bestFit="1" customWidth="1"/>
    <col min="4" max="4" width="22.140625" style="1" customWidth="1"/>
    <col min="5" max="7" width="11.7109375" style="1" customWidth="1"/>
    <col min="8" max="8" width="13.85546875" style="1" bestFit="1" customWidth="1"/>
    <col min="9" max="10" width="11.7109375" style="1" customWidth="1"/>
  </cols>
  <sheetData>
    <row r="1" spans="1:10" ht="15.75" x14ac:dyDescent="0.25">
      <c r="A1" s="14" t="s">
        <v>37</v>
      </c>
    </row>
    <row r="2" spans="1:10" x14ac:dyDescent="0.25">
      <c r="A2" s="16" t="s">
        <v>228</v>
      </c>
    </row>
    <row r="4" spans="1:10" x14ac:dyDescent="0.25">
      <c r="A4" s="8" t="s">
        <v>0</v>
      </c>
      <c r="B4" s="9" t="s">
        <v>1</v>
      </c>
      <c r="C4" s="9" t="s">
        <v>3</v>
      </c>
      <c r="D4" s="9" t="s">
        <v>2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34</v>
      </c>
      <c r="J4" s="9" t="s">
        <v>35</v>
      </c>
    </row>
    <row r="5" spans="1:10" x14ac:dyDescent="0.25">
      <c r="A5" s="3" t="s">
        <v>4</v>
      </c>
      <c r="B5" s="4">
        <v>2008</v>
      </c>
      <c r="C5" s="10">
        <v>623526.16666666663</v>
      </c>
      <c r="D5" s="4">
        <v>2020</v>
      </c>
      <c r="E5" s="4">
        <v>6</v>
      </c>
      <c r="F5" s="4">
        <v>6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3" t="s">
        <v>5</v>
      </c>
      <c r="B6" s="4">
        <v>2010</v>
      </c>
      <c r="C6" s="10">
        <v>756453.36842105258</v>
      </c>
      <c r="D6" s="4">
        <v>2022</v>
      </c>
      <c r="E6" s="4">
        <v>17</v>
      </c>
      <c r="F6" s="4">
        <v>17</v>
      </c>
      <c r="G6" s="4">
        <v>11</v>
      </c>
      <c r="H6" s="4">
        <v>11</v>
      </c>
      <c r="I6" s="4">
        <v>6</v>
      </c>
      <c r="J6" s="4">
        <v>5</v>
      </c>
    </row>
    <row r="7" spans="1:10" x14ac:dyDescent="0.25">
      <c r="A7" s="3" t="s">
        <v>5</v>
      </c>
      <c r="B7" s="4">
        <v>2012</v>
      </c>
      <c r="C7" s="10">
        <v>364155</v>
      </c>
      <c r="D7" s="4">
        <v>2024</v>
      </c>
      <c r="E7" s="4">
        <v>5</v>
      </c>
      <c r="F7" s="4">
        <v>5</v>
      </c>
      <c r="G7" s="4">
        <v>5</v>
      </c>
      <c r="H7" s="4">
        <v>5</v>
      </c>
      <c r="I7" s="4">
        <v>5</v>
      </c>
      <c r="J7" s="4">
        <v>0</v>
      </c>
    </row>
    <row r="8" spans="1:10" x14ac:dyDescent="0.25">
      <c r="A8" s="3" t="s">
        <v>4</v>
      </c>
      <c r="B8" s="4">
        <v>2017</v>
      </c>
      <c r="C8" s="10">
        <v>316792.66666666669</v>
      </c>
      <c r="D8" s="4">
        <v>2029</v>
      </c>
      <c r="E8" s="4">
        <v>12</v>
      </c>
      <c r="F8" s="4">
        <v>12</v>
      </c>
      <c r="G8" s="4">
        <v>12</v>
      </c>
      <c r="H8" s="4">
        <v>12</v>
      </c>
      <c r="I8" s="4">
        <v>12</v>
      </c>
      <c r="J8" s="4">
        <v>12</v>
      </c>
    </row>
    <row r="9" spans="1:10" x14ac:dyDescent="0.25">
      <c r="A9" s="3" t="s">
        <v>4</v>
      </c>
      <c r="B9" s="4">
        <v>2018</v>
      </c>
      <c r="C9" s="10">
        <v>291849.33333333331</v>
      </c>
      <c r="D9" s="4">
        <v>2030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</row>
    <row r="10" spans="1:10" x14ac:dyDescent="0.25">
      <c r="A10" s="3" t="s">
        <v>4</v>
      </c>
      <c r="B10" s="4">
        <v>2019</v>
      </c>
      <c r="C10" s="10">
        <v>186027.5</v>
      </c>
      <c r="D10" s="4">
        <v>2031</v>
      </c>
      <c r="E10" s="4">
        <v>4</v>
      </c>
      <c r="F10" s="4">
        <v>4</v>
      </c>
      <c r="G10" s="4">
        <v>4</v>
      </c>
      <c r="H10" s="4">
        <v>4</v>
      </c>
      <c r="I10" s="4">
        <v>4</v>
      </c>
      <c r="J10" s="4">
        <v>4</v>
      </c>
    </row>
    <row r="11" spans="1:10" x14ac:dyDescent="0.25">
      <c r="A11" s="3" t="s">
        <v>4</v>
      </c>
      <c r="B11" s="4">
        <v>2021</v>
      </c>
      <c r="C11" s="10">
        <v>14456</v>
      </c>
      <c r="D11" s="4">
        <v>2033</v>
      </c>
      <c r="E11" s="4">
        <v>8</v>
      </c>
      <c r="F11" s="4">
        <v>8</v>
      </c>
      <c r="G11" s="4">
        <v>8</v>
      </c>
      <c r="H11" s="4">
        <v>8</v>
      </c>
      <c r="I11" s="4">
        <v>8</v>
      </c>
      <c r="J11" s="4">
        <v>8</v>
      </c>
    </row>
    <row r="12" spans="1:10" x14ac:dyDescent="0.25">
      <c r="A12" s="3" t="s">
        <v>6</v>
      </c>
      <c r="B12" s="4">
        <v>2021</v>
      </c>
      <c r="C12" s="10">
        <v>11941</v>
      </c>
      <c r="D12" s="4">
        <v>2033</v>
      </c>
      <c r="E12" s="4">
        <v>2</v>
      </c>
      <c r="F12" s="4">
        <v>2</v>
      </c>
      <c r="G12" s="4">
        <v>2</v>
      </c>
      <c r="H12" s="4">
        <v>2</v>
      </c>
      <c r="I12" s="4">
        <v>2</v>
      </c>
      <c r="J12" s="4">
        <v>2</v>
      </c>
    </row>
    <row r="13" spans="1:10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</row>
    <row r="14" spans="1:10" x14ac:dyDescent="0.25">
      <c r="A14" s="3" t="s">
        <v>7</v>
      </c>
      <c r="B14" s="4"/>
      <c r="C14" s="4"/>
      <c r="D14" s="4"/>
      <c r="E14" s="4" t="s">
        <v>18</v>
      </c>
      <c r="F14" s="4">
        <v>6</v>
      </c>
      <c r="G14" s="4">
        <v>13</v>
      </c>
      <c r="H14" s="4">
        <v>19</v>
      </c>
      <c r="I14" s="4">
        <v>23</v>
      </c>
      <c r="J14" s="4">
        <v>30</v>
      </c>
    </row>
    <row r="15" spans="1:10" x14ac:dyDescent="0.25">
      <c r="A15" s="3" t="s">
        <v>8</v>
      </c>
      <c r="B15" s="4"/>
      <c r="C15" s="4"/>
      <c r="D15" s="4"/>
      <c r="E15" s="4" t="s">
        <v>18</v>
      </c>
      <c r="F15" s="4" t="s">
        <v>18</v>
      </c>
      <c r="G15" s="4" t="s">
        <v>18</v>
      </c>
      <c r="H15" s="4" t="s">
        <v>18</v>
      </c>
      <c r="I15" s="4" t="s">
        <v>18</v>
      </c>
      <c r="J15" s="4" t="s">
        <v>18</v>
      </c>
    </row>
    <row r="16" spans="1:10" x14ac:dyDescent="0.25">
      <c r="A16" s="3"/>
      <c r="B16" s="4"/>
      <c r="C16" s="4"/>
      <c r="D16" s="5" t="s">
        <v>13</v>
      </c>
      <c r="E16" s="2">
        <f>SUM(E5:E12)</f>
        <v>57</v>
      </c>
      <c r="F16" s="2">
        <f>SUM(F5:F15)</f>
        <v>63</v>
      </c>
      <c r="G16" s="2">
        <f t="shared" ref="G16:I16" si="0">SUM(G5:G15)</f>
        <v>58</v>
      </c>
      <c r="H16" s="2">
        <f t="shared" si="0"/>
        <v>64</v>
      </c>
      <c r="I16" s="2">
        <f t="shared" si="0"/>
        <v>63</v>
      </c>
      <c r="J16" s="2">
        <f t="shared" ref="J16" si="1">SUM(J5:J15)</f>
        <v>64</v>
      </c>
    </row>
    <row r="17" spans="1:10" x14ac:dyDescent="0.25">
      <c r="D17" s="5" t="s">
        <v>15</v>
      </c>
      <c r="E17" s="2">
        <v>5</v>
      </c>
      <c r="F17" s="2">
        <v>8</v>
      </c>
      <c r="G17" s="2">
        <v>3</v>
      </c>
      <c r="H17" s="2">
        <v>5</v>
      </c>
      <c r="I17" s="2">
        <v>3</v>
      </c>
      <c r="J17" s="2">
        <v>2</v>
      </c>
    </row>
    <row r="18" spans="1:10" x14ac:dyDescent="0.25">
      <c r="D18" s="5" t="s">
        <v>14</v>
      </c>
      <c r="E18" s="2">
        <v>43</v>
      </c>
      <c r="F18" s="2">
        <v>45</v>
      </c>
      <c r="G18" s="2">
        <v>46</v>
      </c>
      <c r="H18" s="2">
        <v>49</v>
      </c>
      <c r="I18" s="2">
        <v>50</v>
      </c>
      <c r="J18" s="2">
        <v>52</v>
      </c>
    </row>
    <row r="19" spans="1:10" x14ac:dyDescent="0.25">
      <c r="A19" s="86" t="s">
        <v>36</v>
      </c>
      <c r="B19" s="87"/>
      <c r="D19" s="5" t="s">
        <v>16</v>
      </c>
      <c r="E19" s="2">
        <f>E16-SUM(E17:E18)</f>
        <v>9</v>
      </c>
      <c r="F19" s="2">
        <f t="shared" ref="F19:I19" si="2">F16-SUM(F17:F18)</f>
        <v>10</v>
      </c>
      <c r="G19" s="2">
        <f t="shared" si="2"/>
        <v>9</v>
      </c>
      <c r="H19" s="2">
        <f t="shared" si="2"/>
        <v>10</v>
      </c>
      <c r="I19" s="2">
        <f t="shared" si="2"/>
        <v>10</v>
      </c>
      <c r="J19" s="2">
        <f t="shared" ref="J19" si="3">J16-SUM(J17:J18)</f>
        <v>10</v>
      </c>
    </row>
    <row r="20" spans="1:10" x14ac:dyDescent="0.25">
      <c r="A20" s="96" t="s">
        <v>47</v>
      </c>
      <c r="B20" s="97"/>
      <c r="D20" s="5" t="s">
        <v>17</v>
      </c>
      <c r="E20" s="11">
        <f>E19/E18</f>
        <v>0.20930232558139536</v>
      </c>
      <c r="F20" s="11">
        <f t="shared" ref="F20:I20" si="4">F19/F18</f>
        <v>0.22222222222222221</v>
      </c>
      <c r="G20" s="11">
        <f t="shared" si="4"/>
        <v>0.19565217391304349</v>
      </c>
      <c r="H20" s="11">
        <f t="shared" si="4"/>
        <v>0.20408163265306123</v>
      </c>
      <c r="I20" s="11">
        <f t="shared" si="4"/>
        <v>0.2</v>
      </c>
      <c r="J20" s="11">
        <f t="shared" ref="J20" si="5">J19/J18</f>
        <v>0.19230769230769232</v>
      </c>
    </row>
    <row r="21" spans="1:10" x14ac:dyDescent="0.25">
      <c r="A21" s="92" t="s">
        <v>38</v>
      </c>
      <c r="B21" s="93"/>
    </row>
    <row r="22" spans="1:10" x14ac:dyDescent="0.25">
      <c r="A22" s="98" t="s">
        <v>39</v>
      </c>
      <c r="B22" s="99"/>
      <c r="D22" s="91" t="s">
        <v>26</v>
      </c>
      <c r="E22" s="91"/>
      <c r="F22" s="9" t="s">
        <v>10</v>
      </c>
      <c r="G22" s="9" t="s">
        <v>11</v>
      </c>
      <c r="H22" s="9" t="s">
        <v>12</v>
      </c>
      <c r="I22" s="9" t="s">
        <v>34</v>
      </c>
      <c r="J22" s="9" t="s">
        <v>35</v>
      </c>
    </row>
    <row r="23" spans="1:10" x14ac:dyDescent="0.25">
      <c r="A23" s="98" t="s">
        <v>40</v>
      </c>
      <c r="B23" s="99"/>
      <c r="D23" s="88" t="s">
        <v>20</v>
      </c>
      <c r="E23" s="88"/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94" t="s">
        <v>41</v>
      </c>
      <c r="B24" s="95"/>
      <c r="D24" s="88" t="s">
        <v>19</v>
      </c>
      <c r="E24" s="88"/>
      <c r="F24" s="4">
        <v>6</v>
      </c>
      <c r="G24" s="4">
        <v>7</v>
      </c>
      <c r="H24" s="4">
        <v>6</v>
      </c>
      <c r="I24" s="4">
        <v>4</v>
      </c>
      <c r="J24" s="4">
        <v>7</v>
      </c>
    </row>
    <row r="25" spans="1:10" x14ac:dyDescent="0.25">
      <c r="A25" s="92" t="s">
        <v>42</v>
      </c>
      <c r="B25" s="93"/>
      <c r="D25" s="88" t="s">
        <v>21</v>
      </c>
      <c r="E25" s="88"/>
      <c r="F25" s="4">
        <v>0</v>
      </c>
      <c r="G25" s="4">
        <v>0</v>
      </c>
      <c r="H25" s="4">
        <v>0</v>
      </c>
      <c r="I25" s="4">
        <v>0</v>
      </c>
      <c r="J25" s="4">
        <v>5</v>
      </c>
    </row>
    <row r="26" spans="1:10" x14ac:dyDescent="0.25">
      <c r="A26" s="94" t="s">
        <v>43</v>
      </c>
      <c r="B26" s="95"/>
      <c r="D26" s="88" t="s">
        <v>22</v>
      </c>
      <c r="E26" s="88"/>
      <c r="F26" s="4">
        <v>15</v>
      </c>
      <c r="G26" s="4">
        <v>4</v>
      </c>
      <c r="H26" s="4">
        <v>8</v>
      </c>
      <c r="I26" s="4">
        <v>0</v>
      </c>
      <c r="J26" s="4">
        <v>0</v>
      </c>
    </row>
    <row r="27" spans="1:10" x14ac:dyDescent="0.25">
      <c r="A27" s="92" t="s">
        <v>44</v>
      </c>
      <c r="B27" s="93"/>
      <c r="D27" s="88" t="s">
        <v>23</v>
      </c>
      <c r="E27" s="88"/>
      <c r="F27" s="4">
        <v>0</v>
      </c>
      <c r="G27" s="4">
        <v>12</v>
      </c>
      <c r="H27" s="4">
        <v>3</v>
      </c>
      <c r="I27" s="4">
        <v>4</v>
      </c>
      <c r="J27" s="4">
        <v>0</v>
      </c>
    </row>
    <row r="28" spans="1:10" x14ac:dyDescent="0.25">
      <c r="A28" s="94" t="s">
        <v>45</v>
      </c>
      <c r="B28" s="95"/>
      <c r="D28" s="88" t="s">
        <v>24</v>
      </c>
      <c r="E28" s="88"/>
      <c r="F28" s="12">
        <v>580956</v>
      </c>
      <c r="G28" s="12">
        <f t="shared" ref="G28:J31" si="6">F28*1.035</f>
        <v>601289.46</v>
      </c>
      <c r="H28" s="12">
        <f t="shared" si="6"/>
        <v>622334.59109999996</v>
      </c>
      <c r="I28" s="12">
        <f t="shared" si="6"/>
        <v>644116.30178849993</v>
      </c>
      <c r="J28" s="12">
        <f t="shared" si="6"/>
        <v>666660.37235109741</v>
      </c>
    </row>
    <row r="29" spans="1:10" x14ac:dyDescent="0.25">
      <c r="A29" s="96" t="s">
        <v>46</v>
      </c>
      <c r="B29" s="97"/>
      <c r="D29" s="88" t="s">
        <v>25</v>
      </c>
      <c r="E29" s="88"/>
      <c r="F29" s="12">
        <v>1038549</v>
      </c>
      <c r="G29" s="12">
        <f t="shared" si="6"/>
        <v>1074898.2149999999</v>
      </c>
      <c r="H29" s="12">
        <f t="shared" si="6"/>
        <v>1112519.6525249998</v>
      </c>
      <c r="I29" s="12">
        <f t="shared" si="6"/>
        <v>1151457.8403633747</v>
      </c>
      <c r="J29" s="12">
        <f t="shared" si="6"/>
        <v>1191758.8647760928</v>
      </c>
    </row>
    <row r="30" spans="1:10" x14ac:dyDescent="0.25">
      <c r="A30" s="18" t="s">
        <v>48</v>
      </c>
      <c r="B30" s="19"/>
      <c r="D30" s="88" t="s">
        <v>27</v>
      </c>
      <c r="E30" s="88"/>
      <c r="F30" s="12">
        <v>140530</v>
      </c>
      <c r="G30" s="12">
        <v>146151</v>
      </c>
      <c r="H30" s="12">
        <f t="shared" si="6"/>
        <v>151266.28499999997</v>
      </c>
      <c r="I30" s="12">
        <f t="shared" si="6"/>
        <v>156560.60497499997</v>
      </c>
      <c r="J30" s="12">
        <f t="shared" si="6"/>
        <v>162040.22614912497</v>
      </c>
    </row>
    <row r="31" spans="1:10" x14ac:dyDescent="0.25">
      <c r="A31" s="22" t="s">
        <v>49</v>
      </c>
      <c r="B31" s="23"/>
      <c r="D31" s="88" t="s">
        <v>28</v>
      </c>
      <c r="E31" s="88"/>
      <c r="F31" s="12">
        <v>104000</v>
      </c>
      <c r="G31" s="12">
        <f t="shared" si="6"/>
        <v>107639.99999999999</v>
      </c>
      <c r="H31" s="12">
        <f t="shared" si="6"/>
        <v>111407.39999999998</v>
      </c>
      <c r="I31" s="12">
        <f t="shared" si="6"/>
        <v>115306.65899999997</v>
      </c>
      <c r="J31" s="12">
        <f t="shared" si="6"/>
        <v>119342.39206499996</v>
      </c>
    </row>
    <row r="32" spans="1:10" x14ac:dyDescent="0.25">
      <c r="A32" s="18" t="s">
        <v>50</v>
      </c>
      <c r="B32" s="19"/>
      <c r="D32" s="88" t="s">
        <v>30</v>
      </c>
      <c r="E32" s="88"/>
      <c r="F32" s="12">
        <v>0</v>
      </c>
      <c r="G32" s="12">
        <f t="shared" ref="G32:I32" si="7">G23*G28</f>
        <v>0</v>
      </c>
      <c r="H32" s="12">
        <f t="shared" si="7"/>
        <v>0</v>
      </c>
      <c r="I32" s="12">
        <f t="shared" si="7"/>
        <v>0</v>
      </c>
      <c r="J32" s="12">
        <f t="shared" ref="J32:J33" si="8">J23*J28</f>
        <v>0</v>
      </c>
    </row>
    <row r="33" spans="1:10" x14ac:dyDescent="0.25">
      <c r="A33" s="22" t="s">
        <v>51</v>
      </c>
      <c r="B33" s="23"/>
      <c r="D33" s="88" t="s">
        <v>31</v>
      </c>
      <c r="E33" s="88"/>
      <c r="F33" s="12">
        <f>F24*F29</f>
        <v>6231294</v>
      </c>
      <c r="G33" s="12">
        <f t="shared" ref="G33:I33" si="9">G24*G29</f>
        <v>7524287.504999999</v>
      </c>
      <c r="H33" s="12">
        <f t="shared" si="9"/>
        <v>6675117.9151499989</v>
      </c>
      <c r="I33" s="12">
        <f t="shared" si="9"/>
        <v>4605831.3614534987</v>
      </c>
      <c r="J33" s="12">
        <f t="shared" si="8"/>
        <v>8342312.0534326499</v>
      </c>
    </row>
    <row r="34" spans="1:10" x14ac:dyDescent="0.25">
      <c r="A34" s="20" t="s">
        <v>52</v>
      </c>
      <c r="B34" s="21"/>
      <c r="D34" s="88" t="s">
        <v>29</v>
      </c>
      <c r="E34" s="88"/>
      <c r="F34" s="12">
        <f>F26*F30</f>
        <v>2107950</v>
      </c>
      <c r="G34" s="12">
        <f t="shared" ref="G34:J34" si="10">G26*G30</f>
        <v>584604</v>
      </c>
      <c r="H34" s="12">
        <f t="shared" si="10"/>
        <v>1210130.2799999998</v>
      </c>
      <c r="I34" s="12">
        <f t="shared" si="10"/>
        <v>0</v>
      </c>
      <c r="J34" s="12">
        <f t="shared" si="10"/>
        <v>0</v>
      </c>
    </row>
    <row r="35" spans="1:10" x14ac:dyDescent="0.25">
      <c r="D35" s="88" t="s">
        <v>32</v>
      </c>
      <c r="E35" s="88"/>
      <c r="F35" s="12">
        <f>F27*F31</f>
        <v>0</v>
      </c>
      <c r="G35" s="12">
        <f t="shared" ref="G35:J35" si="11">G27*G31</f>
        <v>1291679.9999999998</v>
      </c>
      <c r="H35" s="12">
        <f t="shared" si="11"/>
        <v>334222.19999999995</v>
      </c>
      <c r="I35" s="12">
        <f t="shared" si="11"/>
        <v>461226.63599999988</v>
      </c>
      <c r="J35" s="12">
        <f t="shared" si="11"/>
        <v>0</v>
      </c>
    </row>
    <row r="36" spans="1:10" x14ac:dyDescent="0.25">
      <c r="D36" s="89" t="s">
        <v>33</v>
      </c>
      <c r="E36" s="89"/>
      <c r="F36" s="13">
        <f>SUM(F32:F35)</f>
        <v>8339244</v>
      </c>
      <c r="G36" s="13">
        <f t="shared" ref="G36:J36" si="12">SUM(G32:G35)</f>
        <v>9400571.504999999</v>
      </c>
      <c r="H36" s="13">
        <f t="shared" si="12"/>
        <v>8219470.3951499993</v>
      </c>
      <c r="I36" s="13">
        <f t="shared" si="12"/>
        <v>5067057.9974534987</v>
      </c>
      <c r="J36" s="13">
        <f t="shared" si="12"/>
        <v>8342312.0534326499</v>
      </c>
    </row>
    <row r="37" spans="1:10" x14ac:dyDescent="0.25">
      <c r="D37" s="90"/>
      <c r="E37" s="90"/>
    </row>
  </sheetData>
  <mergeCells count="27">
    <mergeCell ref="A27:B27"/>
    <mergeCell ref="A28:B28"/>
    <mergeCell ref="A29:B29"/>
    <mergeCell ref="D26:E26"/>
    <mergeCell ref="A20:B20"/>
    <mergeCell ref="A21:B21"/>
    <mergeCell ref="A22:B22"/>
    <mergeCell ref="A23:B23"/>
    <mergeCell ref="A24:B24"/>
    <mergeCell ref="A25:B25"/>
    <mergeCell ref="A26:B26"/>
    <mergeCell ref="A19:B19"/>
    <mergeCell ref="D34:E34"/>
    <mergeCell ref="D35:E35"/>
    <mergeCell ref="D36:E36"/>
    <mergeCell ref="D37:E37"/>
    <mergeCell ref="D29:E29"/>
    <mergeCell ref="D30:E30"/>
    <mergeCell ref="D31:E31"/>
    <mergeCell ref="D32:E32"/>
    <mergeCell ref="D33:E33"/>
    <mergeCell ref="D27:E27"/>
    <mergeCell ref="D28:E28"/>
    <mergeCell ref="D22:E22"/>
    <mergeCell ref="D23:E23"/>
    <mergeCell ref="D24:E24"/>
    <mergeCell ref="D25:E25"/>
  </mergeCells>
  <pageMargins left="0.25" right="0.25" top="0.75" bottom="0.75" header="0.3" footer="0.3"/>
  <pageSetup scale="9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" sqref="D1"/>
    </sheetView>
  </sheetViews>
  <sheetFormatPr defaultRowHeight="15" x14ac:dyDescent="0.25"/>
  <cols>
    <col min="1" max="2" width="9.140625" style="15"/>
    <col min="3" max="3" width="33.5703125" bestFit="1" customWidth="1"/>
    <col min="4" max="4" width="25.85546875" customWidth="1"/>
    <col min="5" max="5" width="12.5703125" style="1" customWidth="1"/>
    <col min="6" max="6" width="38.140625" bestFit="1" customWidth="1"/>
    <col min="7" max="7" width="10.5703125" style="1" bestFit="1" customWidth="1"/>
    <col min="8" max="9" width="12" style="1" customWidth="1"/>
    <col min="10" max="10" width="10.140625" style="1" bestFit="1" customWidth="1"/>
    <col min="11" max="11" width="10" style="1" customWidth="1"/>
    <col min="12" max="12" width="15" style="1" bestFit="1" customWidth="1"/>
    <col min="13" max="13" width="11.5703125" style="1" customWidth="1"/>
    <col min="14" max="14" width="11.140625" style="1" customWidth="1"/>
    <col min="15" max="15" width="16.5703125" style="1" customWidth="1"/>
    <col min="16" max="16" width="12.28515625" style="1" customWidth="1"/>
    <col min="17" max="18" width="12.7109375" style="1" customWidth="1"/>
    <col min="19" max="20" width="13.85546875" style="1" customWidth="1"/>
    <col min="21" max="21" width="10.7109375" style="1" customWidth="1"/>
    <col min="22" max="22" width="11.5703125" style="1" bestFit="1" customWidth="1"/>
    <col min="23" max="23" width="14.85546875" style="1" bestFit="1" customWidth="1"/>
  </cols>
  <sheetData>
    <row r="1" spans="1:23" ht="18.75" x14ac:dyDescent="0.3">
      <c r="A1" s="24" t="s">
        <v>53</v>
      </c>
    </row>
    <row r="2" spans="1:23" ht="15.75" x14ac:dyDescent="0.25">
      <c r="A2" s="25" t="s">
        <v>54</v>
      </c>
      <c r="B2" s="26"/>
      <c r="C2" s="27">
        <v>44866</v>
      </c>
      <c r="D2" s="27"/>
      <c r="E2" s="28"/>
      <c r="F2" s="27"/>
    </row>
    <row r="3" spans="1:23" ht="15.75" thickBot="1" x14ac:dyDescent="0.3"/>
    <row r="4" spans="1:23" s="34" customFormat="1" ht="60.75" thickBot="1" x14ac:dyDescent="0.3">
      <c r="A4" s="29" t="s">
        <v>55</v>
      </c>
      <c r="B4" s="30" t="s">
        <v>56</v>
      </c>
      <c r="C4" s="31" t="s">
        <v>57</v>
      </c>
      <c r="D4" s="31" t="s">
        <v>58</v>
      </c>
      <c r="E4" s="32" t="s">
        <v>59</v>
      </c>
      <c r="F4" s="31" t="s">
        <v>60</v>
      </c>
      <c r="G4" s="32" t="s">
        <v>61</v>
      </c>
      <c r="H4" s="32" t="s">
        <v>62</v>
      </c>
      <c r="I4" s="32" t="s">
        <v>63</v>
      </c>
      <c r="J4" s="32" t="s">
        <v>64</v>
      </c>
      <c r="K4" s="32" t="s">
        <v>65</v>
      </c>
      <c r="L4" s="32" t="s">
        <v>66</v>
      </c>
      <c r="M4" s="32" t="s">
        <v>67</v>
      </c>
      <c r="N4" s="32" t="s">
        <v>68</v>
      </c>
      <c r="O4" s="32" t="s">
        <v>69</v>
      </c>
      <c r="P4" s="32" t="s">
        <v>70</v>
      </c>
      <c r="Q4" s="32" t="s">
        <v>71</v>
      </c>
      <c r="R4" s="32" t="s">
        <v>72</v>
      </c>
      <c r="S4" s="32" t="s">
        <v>73</v>
      </c>
      <c r="T4" s="32" t="s">
        <v>74</v>
      </c>
      <c r="U4" s="32" t="s">
        <v>75</v>
      </c>
      <c r="V4" s="32" t="s">
        <v>76</v>
      </c>
      <c r="W4" s="33" t="s">
        <v>77</v>
      </c>
    </row>
    <row r="5" spans="1:23" x14ac:dyDescent="0.25">
      <c r="A5" s="35">
        <v>801</v>
      </c>
      <c r="B5" s="17">
        <v>2008</v>
      </c>
      <c r="C5" s="36" t="s">
        <v>78</v>
      </c>
      <c r="D5" s="3" t="s">
        <v>79</v>
      </c>
      <c r="E5" s="4" t="s">
        <v>80</v>
      </c>
      <c r="F5" s="3" t="s">
        <v>81</v>
      </c>
      <c r="G5" s="37">
        <v>39630</v>
      </c>
      <c r="H5" s="38">
        <v>2016</v>
      </c>
      <c r="I5" s="38">
        <v>2017</v>
      </c>
      <c r="J5" s="38" t="s">
        <v>82</v>
      </c>
      <c r="K5" s="4" t="s">
        <v>83</v>
      </c>
      <c r="L5" s="38">
        <v>12</v>
      </c>
      <c r="M5" s="38">
        <f t="shared" ref="M5:M62" ca="1" si="0">DATEDIF(G5,TODAY(),"y")</f>
        <v>14</v>
      </c>
      <c r="N5" s="38">
        <f t="shared" ref="N5:N62" ca="1" si="1">L5-M5</f>
        <v>-2</v>
      </c>
      <c r="O5" s="39">
        <f t="shared" ref="O5:O62" ca="1" si="2">N5/L5</f>
        <v>-0.16666666666666666</v>
      </c>
      <c r="P5" s="10">
        <v>621695</v>
      </c>
      <c r="Q5" s="10">
        <v>500000</v>
      </c>
      <c r="R5" s="10">
        <f t="shared" ref="R5:R62" si="3">Q5-P5</f>
        <v>-121695</v>
      </c>
      <c r="S5" s="39">
        <f t="shared" ref="S5:S62" si="4">R5/Q5</f>
        <v>-0.24339</v>
      </c>
      <c r="T5" s="40">
        <v>388835.04</v>
      </c>
      <c r="U5" s="12">
        <v>311068</v>
      </c>
      <c r="V5" s="12">
        <f t="shared" ref="V5:V62" ca="1" si="5">IF(O5&lt;0,0,O5*U5)</f>
        <v>0</v>
      </c>
      <c r="W5" s="41">
        <f t="shared" ref="W5:W62" si="6">IF(S5&lt;0,0,S5*U5)</f>
        <v>0</v>
      </c>
    </row>
    <row r="6" spans="1:23" x14ac:dyDescent="0.25">
      <c r="A6" s="35">
        <v>802</v>
      </c>
      <c r="B6" s="17">
        <v>2008</v>
      </c>
      <c r="C6" s="36" t="s">
        <v>78</v>
      </c>
      <c r="D6" s="3" t="s">
        <v>84</v>
      </c>
      <c r="E6" s="4" t="s">
        <v>85</v>
      </c>
      <c r="F6" s="3" t="s">
        <v>81</v>
      </c>
      <c r="G6" s="37">
        <v>39630</v>
      </c>
      <c r="H6" s="38">
        <v>2016</v>
      </c>
      <c r="I6" s="38">
        <v>2017</v>
      </c>
      <c r="J6" s="38" t="s">
        <v>82</v>
      </c>
      <c r="K6" s="4" t="s">
        <v>83</v>
      </c>
      <c r="L6" s="38">
        <v>12</v>
      </c>
      <c r="M6" s="38">
        <f t="shared" ca="1" si="0"/>
        <v>14</v>
      </c>
      <c r="N6" s="38">
        <f t="shared" ca="1" si="1"/>
        <v>-2</v>
      </c>
      <c r="O6" s="39">
        <f t="shared" ca="1" si="2"/>
        <v>-0.16666666666666666</v>
      </c>
      <c r="P6" s="10">
        <v>697235</v>
      </c>
      <c r="Q6" s="10">
        <v>500000</v>
      </c>
      <c r="R6" s="10">
        <f t="shared" si="3"/>
        <v>-197235</v>
      </c>
      <c r="S6" s="39">
        <f t="shared" si="4"/>
        <v>-0.39446999999999999</v>
      </c>
      <c r="T6" s="40">
        <v>388835.04</v>
      </c>
      <c r="U6" s="12">
        <v>311068</v>
      </c>
      <c r="V6" s="12">
        <f t="shared" ca="1" si="5"/>
        <v>0</v>
      </c>
      <c r="W6" s="41">
        <f t="shared" si="6"/>
        <v>0</v>
      </c>
    </row>
    <row r="7" spans="1:23" x14ac:dyDescent="0.25">
      <c r="A7" s="35">
        <v>803</v>
      </c>
      <c r="B7" s="17">
        <v>2008</v>
      </c>
      <c r="C7" s="36" t="s">
        <v>78</v>
      </c>
      <c r="D7" s="3" t="s">
        <v>86</v>
      </c>
      <c r="E7" s="4" t="s">
        <v>87</v>
      </c>
      <c r="F7" s="3" t="s">
        <v>81</v>
      </c>
      <c r="G7" s="37">
        <v>39630</v>
      </c>
      <c r="H7" s="38">
        <v>2016</v>
      </c>
      <c r="I7" s="38">
        <v>2017</v>
      </c>
      <c r="J7" s="38" t="s">
        <v>82</v>
      </c>
      <c r="K7" s="4" t="s">
        <v>83</v>
      </c>
      <c r="L7" s="38">
        <v>12</v>
      </c>
      <c r="M7" s="38">
        <f t="shared" ca="1" si="0"/>
        <v>14</v>
      </c>
      <c r="N7" s="38">
        <f t="shared" ca="1" si="1"/>
        <v>-2</v>
      </c>
      <c r="O7" s="39">
        <f t="shared" ca="1" si="2"/>
        <v>-0.16666666666666666</v>
      </c>
      <c r="P7" s="10">
        <v>647057</v>
      </c>
      <c r="Q7" s="10">
        <v>500000</v>
      </c>
      <c r="R7" s="10">
        <f t="shared" si="3"/>
        <v>-147057</v>
      </c>
      <c r="S7" s="39">
        <f t="shared" si="4"/>
        <v>-0.29411399999999999</v>
      </c>
      <c r="T7" s="40">
        <v>388835.04</v>
      </c>
      <c r="U7" s="12">
        <v>311068</v>
      </c>
      <c r="V7" s="12">
        <f t="shared" ca="1" si="5"/>
        <v>0</v>
      </c>
      <c r="W7" s="41">
        <f t="shared" si="6"/>
        <v>0</v>
      </c>
    </row>
    <row r="8" spans="1:23" x14ac:dyDescent="0.25">
      <c r="A8" s="35">
        <v>804</v>
      </c>
      <c r="B8" s="17">
        <v>2008</v>
      </c>
      <c r="C8" s="36" t="s">
        <v>78</v>
      </c>
      <c r="D8" s="3" t="s">
        <v>88</v>
      </c>
      <c r="E8" s="4" t="s">
        <v>89</v>
      </c>
      <c r="F8" s="3" t="s">
        <v>81</v>
      </c>
      <c r="G8" s="37">
        <v>39630</v>
      </c>
      <c r="H8" s="38">
        <v>2016</v>
      </c>
      <c r="I8" s="38">
        <v>2017</v>
      </c>
      <c r="J8" s="38" t="s">
        <v>82</v>
      </c>
      <c r="K8" s="4" t="s">
        <v>83</v>
      </c>
      <c r="L8" s="38">
        <v>12</v>
      </c>
      <c r="M8" s="38">
        <f t="shared" ca="1" si="0"/>
        <v>14</v>
      </c>
      <c r="N8" s="38">
        <f t="shared" ca="1" si="1"/>
        <v>-2</v>
      </c>
      <c r="O8" s="39">
        <f t="shared" ca="1" si="2"/>
        <v>-0.16666666666666666</v>
      </c>
      <c r="P8" s="10">
        <v>635967</v>
      </c>
      <c r="Q8" s="10">
        <v>500000</v>
      </c>
      <c r="R8" s="10">
        <f t="shared" si="3"/>
        <v>-135967</v>
      </c>
      <c r="S8" s="39">
        <f t="shared" si="4"/>
        <v>-0.27193400000000001</v>
      </c>
      <c r="T8" s="40">
        <v>388835.04</v>
      </c>
      <c r="U8" s="12">
        <v>311068</v>
      </c>
      <c r="V8" s="12">
        <f t="shared" ca="1" si="5"/>
        <v>0</v>
      </c>
      <c r="W8" s="41">
        <f t="shared" si="6"/>
        <v>0</v>
      </c>
    </row>
    <row r="9" spans="1:23" x14ac:dyDescent="0.25">
      <c r="A9" s="35">
        <v>805</v>
      </c>
      <c r="B9" s="17">
        <v>2008</v>
      </c>
      <c r="C9" s="36" t="s">
        <v>78</v>
      </c>
      <c r="D9" s="3" t="s">
        <v>90</v>
      </c>
      <c r="E9" s="4" t="s">
        <v>91</v>
      </c>
      <c r="F9" s="3" t="s">
        <v>81</v>
      </c>
      <c r="G9" s="37">
        <v>39630</v>
      </c>
      <c r="H9" s="38">
        <v>2016</v>
      </c>
      <c r="I9" s="38">
        <v>2017</v>
      </c>
      <c r="J9" s="38" t="s">
        <v>82</v>
      </c>
      <c r="K9" s="4" t="s">
        <v>83</v>
      </c>
      <c r="L9" s="38">
        <v>12</v>
      </c>
      <c r="M9" s="38">
        <f t="shared" ca="1" si="0"/>
        <v>14</v>
      </c>
      <c r="N9" s="38">
        <f t="shared" ca="1" si="1"/>
        <v>-2</v>
      </c>
      <c r="O9" s="39">
        <f t="shared" ca="1" si="2"/>
        <v>-0.16666666666666666</v>
      </c>
      <c r="P9" s="10">
        <v>586923</v>
      </c>
      <c r="Q9" s="10">
        <v>500000</v>
      </c>
      <c r="R9" s="10">
        <f t="shared" si="3"/>
        <v>-86923</v>
      </c>
      <c r="S9" s="39">
        <f t="shared" si="4"/>
        <v>-0.173846</v>
      </c>
      <c r="T9" s="40">
        <v>388835.04</v>
      </c>
      <c r="U9" s="12">
        <v>311068</v>
      </c>
      <c r="V9" s="12">
        <f t="shared" ca="1" si="5"/>
        <v>0</v>
      </c>
      <c r="W9" s="41">
        <f t="shared" si="6"/>
        <v>0</v>
      </c>
    </row>
    <row r="10" spans="1:23" x14ac:dyDescent="0.25">
      <c r="A10" s="35">
        <v>806</v>
      </c>
      <c r="B10" s="17">
        <v>2008</v>
      </c>
      <c r="C10" s="36" t="s">
        <v>78</v>
      </c>
      <c r="D10" s="3" t="s">
        <v>92</v>
      </c>
      <c r="E10" s="4" t="s">
        <v>93</v>
      </c>
      <c r="F10" s="3" t="s">
        <v>81</v>
      </c>
      <c r="G10" s="37">
        <v>39630</v>
      </c>
      <c r="H10" s="38">
        <v>2016</v>
      </c>
      <c r="I10" s="38">
        <v>2017</v>
      </c>
      <c r="J10" s="38" t="s">
        <v>82</v>
      </c>
      <c r="K10" s="4" t="s">
        <v>83</v>
      </c>
      <c r="L10" s="38">
        <v>12</v>
      </c>
      <c r="M10" s="38">
        <f t="shared" ca="1" si="0"/>
        <v>14</v>
      </c>
      <c r="N10" s="38">
        <f t="shared" ca="1" si="1"/>
        <v>-2</v>
      </c>
      <c r="O10" s="39">
        <f t="shared" ca="1" si="2"/>
        <v>-0.16666666666666666</v>
      </c>
      <c r="P10" s="10">
        <v>579964</v>
      </c>
      <c r="Q10" s="10">
        <v>500000</v>
      </c>
      <c r="R10" s="10">
        <f t="shared" si="3"/>
        <v>-79964</v>
      </c>
      <c r="S10" s="39">
        <f t="shared" si="4"/>
        <v>-0.15992799999999999</v>
      </c>
      <c r="T10" s="40">
        <v>388835.04</v>
      </c>
      <c r="U10" s="12">
        <v>311068</v>
      </c>
      <c r="V10" s="12">
        <f t="shared" ca="1" si="5"/>
        <v>0</v>
      </c>
      <c r="W10" s="41">
        <f t="shared" si="6"/>
        <v>0</v>
      </c>
    </row>
    <row r="11" spans="1:23" x14ac:dyDescent="0.25">
      <c r="A11" s="35">
        <v>1001</v>
      </c>
      <c r="B11" s="17">
        <v>2010</v>
      </c>
      <c r="C11" s="36" t="s">
        <v>94</v>
      </c>
      <c r="D11" s="3" t="s">
        <v>95</v>
      </c>
      <c r="E11" s="4" t="s">
        <v>96</v>
      </c>
      <c r="F11" s="3" t="s">
        <v>81</v>
      </c>
      <c r="G11" s="37">
        <v>40360</v>
      </c>
      <c r="H11" s="38">
        <v>2018</v>
      </c>
      <c r="I11" s="38">
        <v>2021</v>
      </c>
      <c r="J11" s="38" t="s">
        <v>97</v>
      </c>
      <c r="K11" s="4" t="s">
        <v>83</v>
      </c>
      <c r="L11" s="38">
        <v>12</v>
      </c>
      <c r="M11" s="38">
        <f t="shared" ca="1" si="0"/>
        <v>12</v>
      </c>
      <c r="N11" s="38">
        <f t="shared" ca="1" si="1"/>
        <v>0</v>
      </c>
      <c r="O11" s="39">
        <f t="shared" ca="1" si="2"/>
        <v>0</v>
      </c>
      <c r="P11" s="10">
        <v>822834</v>
      </c>
      <c r="Q11" s="10">
        <v>500000</v>
      </c>
      <c r="R11" s="10">
        <f t="shared" si="3"/>
        <v>-322834</v>
      </c>
      <c r="S11" s="39">
        <f t="shared" si="4"/>
        <v>-0.64566800000000002</v>
      </c>
      <c r="T11" s="40">
        <v>543500</v>
      </c>
      <c r="U11" s="12">
        <v>434800</v>
      </c>
      <c r="V11" s="12">
        <f t="shared" ca="1" si="5"/>
        <v>0</v>
      </c>
      <c r="W11" s="41">
        <f t="shared" si="6"/>
        <v>0</v>
      </c>
    </row>
    <row r="12" spans="1:23" x14ac:dyDescent="0.25">
      <c r="A12" s="35">
        <v>1002</v>
      </c>
      <c r="B12" s="17">
        <v>2010</v>
      </c>
      <c r="C12" s="36" t="s">
        <v>94</v>
      </c>
      <c r="D12" s="3" t="s">
        <v>98</v>
      </c>
      <c r="E12" s="4" t="s">
        <v>99</v>
      </c>
      <c r="F12" s="3" t="s">
        <v>81</v>
      </c>
      <c r="G12" s="37">
        <v>40360</v>
      </c>
      <c r="H12" s="38">
        <v>2018</v>
      </c>
      <c r="I12" s="38">
        <v>2021</v>
      </c>
      <c r="J12" s="38" t="s">
        <v>97</v>
      </c>
      <c r="K12" s="4" t="s">
        <v>83</v>
      </c>
      <c r="L12" s="38">
        <v>12</v>
      </c>
      <c r="M12" s="38">
        <f t="shared" ca="1" si="0"/>
        <v>12</v>
      </c>
      <c r="N12" s="38">
        <f t="shared" ca="1" si="1"/>
        <v>0</v>
      </c>
      <c r="O12" s="39">
        <f t="shared" ca="1" si="2"/>
        <v>0</v>
      </c>
      <c r="P12" s="10">
        <v>822148</v>
      </c>
      <c r="Q12" s="10">
        <v>500000</v>
      </c>
      <c r="R12" s="10">
        <f t="shared" si="3"/>
        <v>-322148</v>
      </c>
      <c r="S12" s="39">
        <f t="shared" si="4"/>
        <v>-0.64429599999999998</v>
      </c>
      <c r="T12" s="40">
        <v>543500</v>
      </c>
      <c r="U12" s="12">
        <v>434800</v>
      </c>
      <c r="V12" s="12">
        <f t="shared" ca="1" si="5"/>
        <v>0</v>
      </c>
      <c r="W12" s="41">
        <f t="shared" si="6"/>
        <v>0</v>
      </c>
    </row>
    <row r="13" spans="1:23" x14ac:dyDescent="0.25">
      <c r="A13" s="35">
        <v>1003</v>
      </c>
      <c r="B13" s="17">
        <v>2010</v>
      </c>
      <c r="C13" s="36" t="s">
        <v>94</v>
      </c>
      <c r="D13" s="3" t="s">
        <v>100</v>
      </c>
      <c r="E13" s="4" t="s">
        <v>101</v>
      </c>
      <c r="F13" s="3" t="s">
        <v>81</v>
      </c>
      <c r="G13" s="37">
        <v>40360</v>
      </c>
      <c r="H13" s="38">
        <v>2018</v>
      </c>
      <c r="I13" s="38">
        <v>2021</v>
      </c>
      <c r="J13" s="38" t="s">
        <v>97</v>
      </c>
      <c r="K13" s="4" t="s">
        <v>83</v>
      </c>
      <c r="L13" s="38">
        <v>12</v>
      </c>
      <c r="M13" s="38">
        <f t="shared" ca="1" si="0"/>
        <v>12</v>
      </c>
      <c r="N13" s="38">
        <f t="shared" ca="1" si="1"/>
        <v>0</v>
      </c>
      <c r="O13" s="39">
        <f t="shared" ca="1" si="2"/>
        <v>0</v>
      </c>
      <c r="P13" s="10">
        <v>811717</v>
      </c>
      <c r="Q13" s="10">
        <v>500000</v>
      </c>
      <c r="R13" s="10">
        <f t="shared" si="3"/>
        <v>-311717</v>
      </c>
      <c r="S13" s="39">
        <f t="shared" si="4"/>
        <v>-0.62343400000000004</v>
      </c>
      <c r="T13" s="40">
        <v>543500</v>
      </c>
      <c r="U13" s="12">
        <v>434800</v>
      </c>
      <c r="V13" s="12">
        <f t="shared" ca="1" si="5"/>
        <v>0</v>
      </c>
      <c r="W13" s="41">
        <f t="shared" si="6"/>
        <v>0</v>
      </c>
    </row>
    <row r="14" spans="1:23" x14ac:dyDescent="0.25">
      <c r="A14" s="35">
        <v>1004</v>
      </c>
      <c r="B14" s="17">
        <v>2010</v>
      </c>
      <c r="C14" s="36" t="s">
        <v>94</v>
      </c>
      <c r="D14" s="3" t="s">
        <v>102</v>
      </c>
      <c r="E14" s="4" t="s">
        <v>103</v>
      </c>
      <c r="F14" s="3" t="s">
        <v>81</v>
      </c>
      <c r="G14" s="37">
        <v>40360</v>
      </c>
      <c r="H14" s="38">
        <v>2018</v>
      </c>
      <c r="I14" s="38">
        <v>2021</v>
      </c>
      <c r="J14" s="38" t="s">
        <v>97</v>
      </c>
      <c r="K14" s="4" t="s">
        <v>83</v>
      </c>
      <c r="L14" s="38">
        <v>12</v>
      </c>
      <c r="M14" s="38">
        <f t="shared" ca="1" si="0"/>
        <v>12</v>
      </c>
      <c r="N14" s="38">
        <f t="shared" ca="1" si="1"/>
        <v>0</v>
      </c>
      <c r="O14" s="39">
        <f t="shared" ca="1" si="2"/>
        <v>0</v>
      </c>
      <c r="P14" s="10">
        <v>839153</v>
      </c>
      <c r="Q14" s="10">
        <v>500000</v>
      </c>
      <c r="R14" s="10">
        <f t="shared" si="3"/>
        <v>-339153</v>
      </c>
      <c r="S14" s="39">
        <f t="shared" si="4"/>
        <v>-0.67830599999999996</v>
      </c>
      <c r="T14" s="40">
        <v>543500</v>
      </c>
      <c r="U14" s="12">
        <v>434800</v>
      </c>
      <c r="V14" s="12">
        <f t="shared" ca="1" si="5"/>
        <v>0</v>
      </c>
      <c r="W14" s="41">
        <f t="shared" si="6"/>
        <v>0</v>
      </c>
    </row>
    <row r="15" spans="1:23" x14ac:dyDescent="0.25">
      <c r="A15" s="35">
        <v>1005</v>
      </c>
      <c r="B15" s="17">
        <v>2010</v>
      </c>
      <c r="C15" s="36" t="s">
        <v>94</v>
      </c>
      <c r="D15" s="3" t="s">
        <v>104</v>
      </c>
      <c r="E15" s="4" t="s">
        <v>105</v>
      </c>
      <c r="F15" s="3" t="s">
        <v>81</v>
      </c>
      <c r="G15" s="37">
        <v>40360</v>
      </c>
      <c r="H15" s="38">
        <v>2018</v>
      </c>
      <c r="I15" s="38">
        <v>2021</v>
      </c>
      <c r="J15" s="38" t="s">
        <v>97</v>
      </c>
      <c r="K15" s="4" t="s">
        <v>83</v>
      </c>
      <c r="L15" s="38">
        <v>12</v>
      </c>
      <c r="M15" s="38">
        <f t="shared" ca="1" si="0"/>
        <v>12</v>
      </c>
      <c r="N15" s="38">
        <f t="shared" ca="1" si="1"/>
        <v>0</v>
      </c>
      <c r="O15" s="39">
        <f t="shared" ca="1" si="2"/>
        <v>0</v>
      </c>
      <c r="P15" s="10">
        <v>814755</v>
      </c>
      <c r="Q15" s="10">
        <v>500000</v>
      </c>
      <c r="R15" s="10">
        <f t="shared" si="3"/>
        <v>-314755</v>
      </c>
      <c r="S15" s="39">
        <f t="shared" si="4"/>
        <v>-0.62951000000000001</v>
      </c>
      <c r="T15" s="40">
        <v>543500</v>
      </c>
      <c r="U15" s="12">
        <v>434800</v>
      </c>
      <c r="V15" s="12">
        <f t="shared" ca="1" si="5"/>
        <v>0</v>
      </c>
      <c r="W15" s="41">
        <f t="shared" si="6"/>
        <v>0</v>
      </c>
    </row>
    <row r="16" spans="1:23" x14ac:dyDescent="0.25">
      <c r="A16" s="35">
        <v>1006</v>
      </c>
      <c r="B16" s="17">
        <v>2010</v>
      </c>
      <c r="C16" s="36" t="s">
        <v>94</v>
      </c>
      <c r="D16" s="3" t="s">
        <v>106</v>
      </c>
      <c r="E16" s="4" t="s">
        <v>107</v>
      </c>
      <c r="F16" s="3" t="s">
        <v>81</v>
      </c>
      <c r="G16" s="37">
        <v>40360</v>
      </c>
      <c r="H16" s="38">
        <v>2018</v>
      </c>
      <c r="I16" s="38">
        <v>2021</v>
      </c>
      <c r="J16" s="38" t="s">
        <v>97</v>
      </c>
      <c r="K16" s="4" t="s">
        <v>83</v>
      </c>
      <c r="L16" s="38">
        <v>12</v>
      </c>
      <c r="M16" s="38">
        <f t="shared" ca="1" si="0"/>
        <v>12</v>
      </c>
      <c r="N16" s="38">
        <f t="shared" ca="1" si="1"/>
        <v>0</v>
      </c>
      <c r="O16" s="39">
        <f t="shared" ca="1" si="2"/>
        <v>0</v>
      </c>
      <c r="P16" s="10">
        <v>790696</v>
      </c>
      <c r="Q16" s="10">
        <v>500000</v>
      </c>
      <c r="R16" s="10">
        <f t="shared" si="3"/>
        <v>-290696</v>
      </c>
      <c r="S16" s="39">
        <f t="shared" si="4"/>
        <v>-0.58139200000000002</v>
      </c>
      <c r="T16" s="40">
        <v>543500</v>
      </c>
      <c r="U16" s="12">
        <v>434800</v>
      </c>
      <c r="V16" s="12">
        <f t="shared" ca="1" si="5"/>
        <v>0</v>
      </c>
      <c r="W16" s="41">
        <f t="shared" si="6"/>
        <v>0</v>
      </c>
    </row>
    <row r="17" spans="1:23" x14ac:dyDescent="0.25">
      <c r="A17" s="35">
        <v>1007</v>
      </c>
      <c r="B17" s="17">
        <v>2010</v>
      </c>
      <c r="C17" s="36" t="s">
        <v>94</v>
      </c>
      <c r="D17" s="3" t="s">
        <v>108</v>
      </c>
      <c r="E17" s="4" t="s">
        <v>109</v>
      </c>
      <c r="F17" s="3" t="s">
        <v>81</v>
      </c>
      <c r="G17" s="37">
        <v>40360</v>
      </c>
      <c r="H17" s="38">
        <v>2018</v>
      </c>
      <c r="I17" s="38">
        <v>2021</v>
      </c>
      <c r="J17" s="38" t="s">
        <v>97</v>
      </c>
      <c r="K17" s="4" t="s">
        <v>227</v>
      </c>
      <c r="L17" s="38">
        <v>12</v>
      </c>
      <c r="M17" s="38">
        <f t="shared" ca="1" si="0"/>
        <v>12</v>
      </c>
      <c r="N17" s="38">
        <f t="shared" ca="1" si="1"/>
        <v>0</v>
      </c>
      <c r="O17" s="39">
        <f t="shared" ca="1" si="2"/>
        <v>0</v>
      </c>
      <c r="P17" s="10">
        <v>801519</v>
      </c>
      <c r="Q17" s="10">
        <v>500000</v>
      </c>
      <c r="R17" s="10">
        <f t="shared" si="3"/>
        <v>-301519</v>
      </c>
      <c r="S17" s="39">
        <f t="shared" si="4"/>
        <v>-0.60303799999999996</v>
      </c>
      <c r="T17" s="40">
        <v>543500</v>
      </c>
      <c r="U17" s="12">
        <v>434800</v>
      </c>
      <c r="V17" s="12">
        <f t="shared" ca="1" si="5"/>
        <v>0</v>
      </c>
      <c r="W17" s="41">
        <f t="shared" si="6"/>
        <v>0</v>
      </c>
    </row>
    <row r="18" spans="1:23" x14ac:dyDescent="0.25">
      <c r="A18" s="35">
        <v>1008</v>
      </c>
      <c r="B18" s="17">
        <v>2010</v>
      </c>
      <c r="C18" s="36" t="s">
        <v>94</v>
      </c>
      <c r="D18" s="3" t="s">
        <v>110</v>
      </c>
      <c r="E18" s="4" t="s">
        <v>111</v>
      </c>
      <c r="F18" s="3" t="s">
        <v>81</v>
      </c>
      <c r="G18" s="37">
        <v>40360</v>
      </c>
      <c r="H18" s="38">
        <v>2018</v>
      </c>
      <c r="I18" s="38">
        <v>2021</v>
      </c>
      <c r="J18" s="38" t="s">
        <v>97</v>
      </c>
      <c r="K18" s="4" t="s">
        <v>83</v>
      </c>
      <c r="L18" s="38">
        <v>12</v>
      </c>
      <c r="M18" s="38">
        <f t="shared" ca="1" si="0"/>
        <v>12</v>
      </c>
      <c r="N18" s="38">
        <f t="shared" ca="1" si="1"/>
        <v>0</v>
      </c>
      <c r="O18" s="39">
        <f t="shared" ca="1" si="2"/>
        <v>0</v>
      </c>
      <c r="P18" s="10">
        <v>785970</v>
      </c>
      <c r="Q18" s="10">
        <v>500000</v>
      </c>
      <c r="R18" s="10">
        <f t="shared" si="3"/>
        <v>-285970</v>
      </c>
      <c r="S18" s="39">
        <f t="shared" si="4"/>
        <v>-0.57194</v>
      </c>
      <c r="T18" s="40">
        <v>543500</v>
      </c>
      <c r="U18" s="12">
        <v>434800</v>
      </c>
      <c r="V18" s="12">
        <f t="shared" ca="1" si="5"/>
        <v>0</v>
      </c>
      <c r="W18" s="41">
        <f t="shared" si="6"/>
        <v>0</v>
      </c>
    </row>
    <row r="19" spans="1:23" x14ac:dyDescent="0.25">
      <c r="A19" s="35">
        <v>1010</v>
      </c>
      <c r="B19" s="17">
        <v>2010</v>
      </c>
      <c r="C19" s="36" t="s">
        <v>94</v>
      </c>
      <c r="D19" s="3" t="s">
        <v>112</v>
      </c>
      <c r="E19" s="4" t="s">
        <v>113</v>
      </c>
      <c r="F19" s="3" t="s">
        <v>81</v>
      </c>
      <c r="G19" s="37">
        <v>40360</v>
      </c>
      <c r="H19" s="38">
        <v>2018</v>
      </c>
      <c r="I19" s="38">
        <v>2021</v>
      </c>
      <c r="J19" s="38" t="s">
        <v>97</v>
      </c>
      <c r="K19" s="4" t="s">
        <v>83</v>
      </c>
      <c r="L19" s="38">
        <v>12</v>
      </c>
      <c r="M19" s="38">
        <f t="shared" ca="1" si="0"/>
        <v>12</v>
      </c>
      <c r="N19" s="38">
        <f t="shared" ca="1" si="1"/>
        <v>0</v>
      </c>
      <c r="O19" s="39">
        <f t="shared" ca="1" si="2"/>
        <v>0</v>
      </c>
      <c r="P19" s="10">
        <v>802140</v>
      </c>
      <c r="Q19" s="10">
        <v>500000</v>
      </c>
      <c r="R19" s="10">
        <f t="shared" si="3"/>
        <v>-302140</v>
      </c>
      <c r="S19" s="39">
        <f t="shared" si="4"/>
        <v>-0.60428000000000004</v>
      </c>
      <c r="T19" s="40">
        <v>543500</v>
      </c>
      <c r="U19" s="12">
        <v>434800</v>
      </c>
      <c r="V19" s="12">
        <f t="shared" ca="1" si="5"/>
        <v>0</v>
      </c>
      <c r="W19" s="41">
        <f t="shared" si="6"/>
        <v>0</v>
      </c>
    </row>
    <row r="20" spans="1:23" x14ac:dyDescent="0.25">
      <c r="A20" s="35">
        <v>1012</v>
      </c>
      <c r="B20" s="17">
        <v>2010</v>
      </c>
      <c r="C20" s="36" t="s">
        <v>94</v>
      </c>
      <c r="D20" s="3" t="s">
        <v>114</v>
      </c>
      <c r="E20" s="4" t="s">
        <v>115</v>
      </c>
      <c r="F20" s="3" t="s">
        <v>81</v>
      </c>
      <c r="G20" s="37">
        <v>40360</v>
      </c>
      <c r="H20" s="38">
        <v>2018</v>
      </c>
      <c r="I20" s="38">
        <v>2021</v>
      </c>
      <c r="J20" s="38" t="s">
        <v>97</v>
      </c>
      <c r="K20" s="4" t="s">
        <v>83</v>
      </c>
      <c r="L20" s="38">
        <v>12</v>
      </c>
      <c r="M20" s="38">
        <f t="shared" ca="1" si="0"/>
        <v>12</v>
      </c>
      <c r="N20" s="38">
        <f t="shared" ca="1" si="1"/>
        <v>0</v>
      </c>
      <c r="O20" s="39">
        <f t="shared" ca="1" si="2"/>
        <v>0</v>
      </c>
      <c r="P20" s="10">
        <v>821750</v>
      </c>
      <c r="Q20" s="10">
        <v>500000</v>
      </c>
      <c r="R20" s="10">
        <f t="shared" si="3"/>
        <v>-321750</v>
      </c>
      <c r="S20" s="39">
        <f t="shared" si="4"/>
        <v>-0.64349999999999996</v>
      </c>
      <c r="T20" s="40">
        <v>543500</v>
      </c>
      <c r="U20" s="12">
        <v>434800</v>
      </c>
      <c r="V20" s="12">
        <f t="shared" ca="1" si="5"/>
        <v>0</v>
      </c>
      <c r="W20" s="41">
        <f t="shared" si="6"/>
        <v>0</v>
      </c>
    </row>
    <row r="21" spans="1:23" x14ac:dyDescent="0.25">
      <c r="A21" s="35">
        <v>1013</v>
      </c>
      <c r="B21" s="17">
        <v>2010</v>
      </c>
      <c r="C21" s="36" t="s">
        <v>94</v>
      </c>
      <c r="D21" s="3" t="s">
        <v>116</v>
      </c>
      <c r="E21" s="4" t="s">
        <v>117</v>
      </c>
      <c r="F21" s="3" t="s">
        <v>81</v>
      </c>
      <c r="G21" s="37">
        <v>40360</v>
      </c>
      <c r="H21" s="38">
        <v>2018</v>
      </c>
      <c r="I21" s="38">
        <v>2021</v>
      </c>
      <c r="J21" s="38" t="s">
        <v>97</v>
      </c>
      <c r="K21" s="4" t="s">
        <v>83</v>
      </c>
      <c r="L21" s="38">
        <v>12</v>
      </c>
      <c r="M21" s="38">
        <f t="shared" ca="1" si="0"/>
        <v>12</v>
      </c>
      <c r="N21" s="38">
        <f t="shared" ca="1" si="1"/>
        <v>0</v>
      </c>
      <c r="O21" s="39">
        <f t="shared" ca="1" si="2"/>
        <v>0</v>
      </c>
      <c r="P21" s="10">
        <v>773638</v>
      </c>
      <c r="Q21" s="10">
        <v>500000</v>
      </c>
      <c r="R21" s="10">
        <f t="shared" si="3"/>
        <v>-273638</v>
      </c>
      <c r="S21" s="39">
        <f t="shared" si="4"/>
        <v>-0.54727599999999998</v>
      </c>
      <c r="T21" s="40">
        <v>543500</v>
      </c>
      <c r="U21" s="12">
        <v>434800</v>
      </c>
      <c r="V21" s="12">
        <f t="shared" ca="1" si="5"/>
        <v>0</v>
      </c>
      <c r="W21" s="41">
        <f t="shared" si="6"/>
        <v>0</v>
      </c>
    </row>
    <row r="22" spans="1:23" x14ac:dyDescent="0.25">
      <c r="A22" s="35">
        <v>1014</v>
      </c>
      <c r="B22" s="17">
        <v>2010</v>
      </c>
      <c r="C22" s="36" t="s">
        <v>94</v>
      </c>
      <c r="D22" s="3" t="s">
        <v>118</v>
      </c>
      <c r="E22" s="4" t="s">
        <v>119</v>
      </c>
      <c r="F22" s="3" t="s">
        <v>81</v>
      </c>
      <c r="G22" s="37">
        <v>40360</v>
      </c>
      <c r="H22" s="38">
        <v>2018</v>
      </c>
      <c r="I22" s="38">
        <v>2021</v>
      </c>
      <c r="J22" s="38" t="s">
        <v>97</v>
      </c>
      <c r="K22" s="4" t="s">
        <v>83</v>
      </c>
      <c r="L22" s="38">
        <v>12</v>
      </c>
      <c r="M22" s="38">
        <f t="shared" ca="1" si="0"/>
        <v>12</v>
      </c>
      <c r="N22" s="38">
        <f t="shared" ca="1" si="1"/>
        <v>0</v>
      </c>
      <c r="O22" s="39">
        <f t="shared" ca="1" si="2"/>
        <v>0</v>
      </c>
      <c r="P22" s="10">
        <v>799857</v>
      </c>
      <c r="Q22" s="10">
        <v>500000</v>
      </c>
      <c r="R22" s="10">
        <f t="shared" si="3"/>
        <v>-299857</v>
      </c>
      <c r="S22" s="39">
        <f t="shared" si="4"/>
        <v>-0.59971399999999997</v>
      </c>
      <c r="T22" s="40">
        <v>543500</v>
      </c>
      <c r="U22" s="12">
        <v>434800</v>
      </c>
      <c r="V22" s="12">
        <f t="shared" ca="1" si="5"/>
        <v>0</v>
      </c>
      <c r="W22" s="41">
        <f t="shared" si="6"/>
        <v>0</v>
      </c>
    </row>
    <row r="23" spans="1:23" x14ac:dyDescent="0.25">
      <c r="A23" s="35">
        <v>1015</v>
      </c>
      <c r="B23" s="17">
        <v>2010</v>
      </c>
      <c r="C23" s="36" t="s">
        <v>94</v>
      </c>
      <c r="D23" s="3" t="s">
        <v>120</v>
      </c>
      <c r="E23" s="4" t="s">
        <v>121</v>
      </c>
      <c r="F23" s="3" t="s">
        <v>81</v>
      </c>
      <c r="G23" s="37">
        <v>40360</v>
      </c>
      <c r="H23" s="38">
        <v>2018</v>
      </c>
      <c r="I23" s="38">
        <v>2021</v>
      </c>
      <c r="J23" s="38" t="s">
        <v>97</v>
      </c>
      <c r="K23" s="4" t="s">
        <v>83</v>
      </c>
      <c r="L23" s="38">
        <v>12</v>
      </c>
      <c r="M23" s="38">
        <f t="shared" ca="1" si="0"/>
        <v>12</v>
      </c>
      <c r="N23" s="38">
        <f t="shared" ca="1" si="1"/>
        <v>0</v>
      </c>
      <c r="O23" s="39">
        <f t="shared" ca="1" si="2"/>
        <v>0</v>
      </c>
      <c r="P23" s="10">
        <v>823305</v>
      </c>
      <c r="Q23" s="10">
        <v>500000</v>
      </c>
      <c r="R23" s="10">
        <f t="shared" si="3"/>
        <v>-323305</v>
      </c>
      <c r="S23" s="39">
        <f t="shared" si="4"/>
        <v>-0.64661000000000002</v>
      </c>
      <c r="T23" s="40">
        <v>543500</v>
      </c>
      <c r="U23" s="12">
        <v>434800</v>
      </c>
      <c r="V23" s="12">
        <f t="shared" ca="1" si="5"/>
        <v>0</v>
      </c>
      <c r="W23" s="41">
        <f t="shared" si="6"/>
        <v>0</v>
      </c>
    </row>
    <row r="24" spans="1:23" x14ac:dyDescent="0.25">
      <c r="A24" s="35">
        <v>1016</v>
      </c>
      <c r="B24" s="17">
        <v>2010</v>
      </c>
      <c r="C24" s="36" t="s">
        <v>94</v>
      </c>
      <c r="D24" s="3" t="s">
        <v>122</v>
      </c>
      <c r="E24" s="4" t="s">
        <v>123</v>
      </c>
      <c r="F24" s="3" t="s">
        <v>81</v>
      </c>
      <c r="G24" s="37">
        <v>40360</v>
      </c>
      <c r="H24" s="38">
        <v>2018</v>
      </c>
      <c r="I24" s="38">
        <v>2021</v>
      </c>
      <c r="J24" s="38" t="s">
        <v>97</v>
      </c>
      <c r="K24" s="4" t="s">
        <v>83</v>
      </c>
      <c r="L24" s="38">
        <v>12</v>
      </c>
      <c r="M24" s="38">
        <f t="shared" ca="1" si="0"/>
        <v>12</v>
      </c>
      <c r="N24" s="38">
        <f t="shared" ca="1" si="1"/>
        <v>0</v>
      </c>
      <c r="O24" s="39">
        <f t="shared" ca="1" si="2"/>
        <v>0</v>
      </c>
      <c r="P24" s="10">
        <v>805038</v>
      </c>
      <c r="Q24" s="10">
        <v>500000</v>
      </c>
      <c r="R24" s="10">
        <f t="shared" si="3"/>
        <v>-305038</v>
      </c>
      <c r="S24" s="39">
        <f t="shared" si="4"/>
        <v>-0.61007599999999995</v>
      </c>
      <c r="T24" s="40">
        <v>543500</v>
      </c>
      <c r="U24" s="12">
        <v>434800</v>
      </c>
      <c r="V24" s="12">
        <f t="shared" ca="1" si="5"/>
        <v>0</v>
      </c>
      <c r="W24" s="41">
        <f t="shared" si="6"/>
        <v>0</v>
      </c>
    </row>
    <row r="25" spans="1:23" x14ac:dyDescent="0.25">
      <c r="A25" s="35">
        <v>1017</v>
      </c>
      <c r="B25" s="17">
        <v>2010</v>
      </c>
      <c r="C25" s="36" t="s">
        <v>94</v>
      </c>
      <c r="D25" s="3" t="s">
        <v>124</v>
      </c>
      <c r="E25" s="4" t="s">
        <v>125</v>
      </c>
      <c r="F25" s="3" t="s">
        <v>81</v>
      </c>
      <c r="G25" s="37">
        <v>40360</v>
      </c>
      <c r="H25" s="38">
        <v>2018</v>
      </c>
      <c r="I25" s="38">
        <v>2021</v>
      </c>
      <c r="J25" s="38" t="s">
        <v>97</v>
      </c>
      <c r="K25" s="4" t="s">
        <v>83</v>
      </c>
      <c r="L25" s="38">
        <v>12</v>
      </c>
      <c r="M25" s="38">
        <f t="shared" ca="1" si="0"/>
        <v>12</v>
      </c>
      <c r="N25" s="38">
        <f t="shared" ca="1" si="1"/>
        <v>0</v>
      </c>
      <c r="O25" s="39">
        <f t="shared" ca="1" si="2"/>
        <v>0</v>
      </c>
      <c r="P25" s="10">
        <v>718387</v>
      </c>
      <c r="Q25" s="10">
        <v>500000</v>
      </c>
      <c r="R25" s="10">
        <f t="shared" si="3"/>
        <v>-218387</v>
      </c>
      <c r="S25" s="39">
        <f t="shared" si="4"/>
        <v>-0.436774</v>
      </c>
      <c r="T25" s="40">
        <v>543500</v>
      </c>
      <c r="U25" s="12">
        <v>434800</v>
      </c>
      <c r="V25" s="12">
        <f t="shared" ca="1" si="5"/>
        <v>0</v>
      </c>
      <c r="W25" s="41">
        <f t="shared" si="6"/>
        <v>0</v>
      </c>
    </row>
    <row r="26" spans="1:23" x14ac:dyDescent="0.25">
      <c r="A26" s="35">
        <v>1018</v>
      </c>
      <c r="B26" s="17">
        <v>2010</v>
      </c>
      <c r="C26" s="36" t="s">
        <v>94</v>
      </c>
      <c r="D26" s="3" t="s">
        <v>126</v>
      </c>
      <c r="E26" s="4" t="s">
        <v>127</v>
      </c>
      <c r="F26" s="3" t="s">
        <v>81</v>
      </c>
      <c r="G26" s="37">
        <v>40360</v>
      </c>
      <c r="H26" s="38">
        <v>2018</v>
      </c>
      <c r="I26" s="38">
        <v>2021</v>
      </c>
      <c r="J26" s="38" t="s">
        <v>97</v>
      </c>
      <c r="K26" s="4" t="s">
        <v>83</v>
      </c>
      <c r="L26" s="38">
        <v>12</v>
      </c>
      <c r="M26" s="38">
        <f t="shared" ca="1" si="0"/>
        <v>12</v>
      </c>
      <c r="N26" s="38">
        <f t="shared" ca="1" si="1"/>
        <v>0</v>
      </c>
      <c r="O26" s="39">
        <f t="shared" ca="1" si="2"/>
        <v>0</v>
      </c>
      <c r="P26" s="10">
        <v>691973</v>
      </c>
      <c r="Q26" s="10">
        <v>500000</v>
      </c>
      <c r="R26" s="10">
        <f t="shared" si="3"/>
        <v>-191973</v>
      </c>
      <c r="S26" s="39">
        <f t="shared" si="4"/>
        <v>-0.38394600000000001</v>
      </c>
      <c r="T26" s="40">
        <v>543500</v>
      </c>
      <c r="U26" s="12">
        <v>434800</v>
      </c>
      <c r="V26" s="12">
        <f t="shared" ca="1" si="5"/>
        <v>0</v>
      </c>
      <c r="W26" s="41">
        <f t="shared" si="6"/>
        <v>0</v>
      </c>
    </row>
    <row r="27" spans="1:23" x14ac:dyDescent="0.25">
      <c r="A27" s="35">
        <v>1019</v>
      </c>
      <c r="B27" s="17">
        <v>2010</v>
      </c>
      <c r="C27" s="36" t="s">
        <v>94</v>
      </c>
      <c r="D27" s="3" t="s">
        <v>128</v>
      </c>
      <c r="E27" s="4" t="s">
        <v>129</v>
      </c>
      <c r="F27" s="3" t="s">
        <v>81</v>
      </c>
      <c r="G27" s="37">
        <v>40360</v>
      </c>
      <c r="H27" s="38">
        <v>2018</v>
      </c>
      <c r="I27" s="38">
        <v>2021</v>
      </c>
      <c r="J27" s="38" t="s">
        <v>97</v>
      </c>
      <c r="K27" s="4" t="s">
        <v>83</v>
      </c>
      <c r="L27" s="38">
        <v>12</v>
      </c>
      <c r="M27" s="38">
        <f t="shared" ca="1" si="0"/>
        <v>12</v>
      </c>
      <c r="N27" s="38">
        <f t="shared" ca="1" si="1"/>
        <v>0</v>
      </c>
      <c r="O27" s="39">
        <f t="shared" ca="1" si="2"/>
        <v>0</v>
      </c>
      <c r="P27" s="10">
        <v>710061</v>
      </c>
      <c r="Q27" s="10">
        <v>500000</v>
      </c>
      <c r="R27" s="10">
        <f t="shared" si="3"/>
        <v>-210061</v>
      </c>
      <c r="S27" s="39">
        <f t="shared" si="4"/>
        <v>-0.420122</v>
      </c>
      <c r="T27" s="40">
        <v>543500</v>
      </c>
      <c r="U27" s="12">
        <v>434800</v>
      </c>
      <c r="V27" s="12">
        <f t="shared" ca="1" si="5"/>
        <v>0</v>
      </c>
      <c r="W27" s="41">
        <f t="shared" si="6"/>
        <v>0</v>
      </c>
    </row>
    <row r="28" spans="1:23" x14ac:dyDescent="0.25">
      <c r="A28" s="35">
        <v>1020</v>
      </c>
      <c r="B28" s="17">
        <v>2010</v>
      </c>
      <c r="C28" s="36" t="s">
        <v>94</v>
      </c>
      <c r="D28" s="3" t="s">
        <v>130</v>
      </c>
      <c r="E28" s="4" t="s">
        <v>131</v>
      </c>
      <c r="F28" s="3" t="s">
        <v>81</v>
      </c>
      <c r="G28" s="37">
        <v>40360</v>
      </c>
      <c r="H28" s="38">
        <v>2018</v>
      </c>
      <c r="I28" s="38">
        <v>2021</v>
      </c>
      <c r="J28" s="38" t="s">
        <v>97</v>
      </c>
      <c r="K28" s="4" t="s">
        <v>83</v>
      </c>
      <c r="L28" s="38">
        <v>12</v>
      </c>
      <c r="M28" s="38">
        <f t="shared" ca="1" si="0"/>
        <v>12</v>
      </c>
      <c r="N28" s="38">
        <f t="shared" ca="1" si="1"/>
        <v>0</v>
      </c>
      <c r="O28" s="39">
        <f t="shared" ca="1" si="2"/>
        <v>0</v>
      </c>
      <c r="P28" s="10">
        <v>744294</v>
      </c>
      <c r="Q28" s="10">
        <v>500000</v>
      </c>
      <c r="R28" s="10">
        <f t="shared" si="3"/>
        <v>-244294</v>
      </c>
      <c r="S28" s="39">
        <f t="shared" si="4"/>
        <v>-0.48858800000000002</v>
      </c>
      <c r="T28" s="40">
        <v>543500</v>
      </c>
      <c r="U28" s="12">
        <v>434800</v>
      </c>
      <c r="V28" s="12">
        <f t="shared" ca="1" si="5"/>
        <v>0</v>
      </c>
      <c r="W28" s="41">
        <f t="shared" si="6"/>
        <v>0</v>
      </c>
    </row>
    <row r="29" spans="1:23" x14ac:dyDescent="0.25">
      <c r="A29" s="35">
        <v>1201</v>
      </c>
      <c r="B29" s="17">
        <v>2012</v>
      </c>
      <c r="C29" s="36" t="s">
        <v>94</v>
      </c>
      <c r="D29" s="3" t="s">
        <v>132</v>
      </c>
      <c r="E29" s="4" t="s">
        <v>133</v>
      </c>
      <c r="F29" s="3" t="s">
        <v>81</v>
      </c>
      <c r="G29" s="37">
        <v>41091</v>
      </c>
      <c r="H29" s="38">
        <v>2020</v>
      </c>
      <c r="I29" s="38">
        <v>2021</v>
      </c>
      <c r="J29" s="38" t="s">
        <v>134</v>
      </c>
      <c r="K29" s="4" t="s">
        <v>83</v>
      </c>
      <c r="L29" s="38">
        <v>12</v>
      </c>
      <c r="M29" s="38">
        <f t="shared" ca="1" si="0"/>
        <v>10</v>
      </c>
      <c r="N29" s="38">
        <f t="shared" ca="1" si="1"/>
        <v>2</v>
      </c>
      <c r="O29" s="39">
        <f t="shared" ca="1" si="2"/>
        <v>0.16666666666666666</v>
      </c>
      <c r="P29" s="10">
        <v>390822</v>
      </c>
      <c r="Q29" s="10">
        <v>500000</v>
      </c>
      <c r="R29" s="10">
        <f t="shared" si="3"/>
        <v>109178</v>
      </c>
      <c r="S29" s="39">
        <f t="shared" si="4"/>
        <v>0.21835599999999999</v>
      </c>
      <c r="T29" s="40">
        <v>457407</v>
      </c>
      <c r="U29" s="12">
        <f>T29*0.8</f>
        <v>365925.60000000003</v>
      </c>
      <c r="V29" s="12">
        <f t="shared" ca="1" si="5"/>
        <v>60987.600000000006</v>
      </c>
      <c r="W29" s="41">
        <f t="shared" si="6"/>
        <v>79902.050313600004</v>
      </c>
    </row>
    <row r="30" spans="1:23" x14ac:dyDescent="0.25">
      <c r="A30" s="35">
        <v>1202</v>
      </c>
      <c r="B30" s="17">
        <v>2012</v>
      </c>
      <c r="C30" s="36" t="s">
        <v>94</v>
      </c>
      <c r="D30" s="3" t="s">
        <v>135</v>
      </c>
      <c r="E30" s="4" t="s">
        <v>136</v>
      </c>
      <c r="F30" s="3" t="s">
        <v>81</v>
      </c>
      <c r="G30" s="37">
        <v>41091</v>
      </c>
      <c r="H30" s="38">
        <v>2020</v>
      </c>
      <c r="I30" s="38">
        <v>2021</v>
      </c>
      <c r="J30" s="38" t="s">
        <v>134</v>
      </c>
      <c r="K30" s="4" t="s">
        <v>83</v>
      </c>
      <c r="L30" s="38">
        <v>12</v>
      </c>
      <c r="M30" s="38">
        <f t="shared" ca="1" si="0"/>
        <v>10</v>
      </c>
      <c r="N30" s="38">
        <f t="shared" ca="1" si="1"/>
        <v>2</v>
      </c>
      <c r="O30" s="39">
        <f t="shared" ca="1" si="2"/>
        <v>0.16666666666666666</v>
      </c>
      <c r="P30" s="10">
        <v>375406</v>
      </c>
      <c r="Q30" s="10">
        <v>500000</v>
      </c>
      <c r="R30" s="10">
        <f t="shared" si="3"/>
        <v>124594</v>
      </c>
      <c r="S30" s="39">
        <f t="shared" si="4"/>
        <v>0.24918799999999999</v>
      </c>
      <c r="T30" s="40">
        <v>457407</v>
      </c>
      <c r="U30" s="12">
        <f t="shared" ref="U30:U62" si="7">T30*0.8</f>
        <v>365925.60000000003</v>
      </c>
      <c r="V30" s="12">
        <f t="shared" ca="1" si="5"/>
        <v>60987.600000000006</v>
      </c>
      <c r="W30" s="41">
        <f t="shared" si="6"/>
        <v>91184.268412800011</v>
      </c>
    </row>
    <row r="31" spans="1:23" x14ac:dyDescent="0.25">
      <c r="A31" s="35">
        <v>1203</v>
      </c>
      <c r="B31" s="17">
        <v>2012</v>
      </c>
      <c r="C31" s="36" t="s">
        <v>94</v>
      </c>
      <c r="D31" s="3" t="s">
        <v>137</v>
      </c>
      <c r="E31" s="4" t="s">
        <v>138</v>
      </c>
      <c r="F31" s="3" t="s">
        <v>81</v>
      </c>
      <c r="G31" s="37">
        <v>41091</v>
      </c>
      <c r="H31" s="38">
        <v>2020</v>
      </c>
      <c r="I31" s="38">
        <v>2021</v>
      </c>
      <c r="J31" s="38" t="s">
        <v>134</v>
      </c>
      <c r="K31" s="4" t="s">
        <v>83</v>
      </c>
      <c r="L31" s="38">
        <v>12</v>
      </c>
      <c r="M31" s="38">
        <f t="shared" ca="1" si="0"/>
        <v>10</v>
      </c>
      <c r="N31" s="38">
        <f t="shared" ca="1" si="1"/>
        <v>2</v>
      </c>
      <c r="O31" s="39">
        <f t="shared" ca="1" si="2"/>
        <v>0.16666666666666666</v>
      </c>
      <c r="P31" s="10">
        <v>377774</v>
      </c>
      <c r="Q31" s="10">
        <v>500000</v>
      </c>
      <c r="R31" s="10">
        <f t="shared" si="3"/>
        <v>122226</v>
      </c>
      <c r="S31" s="39">
        <f t="shared" si="4"/>
        <v>0.244452</v>
      </c>
      <c r="T31" s="40">
        <v>457407</v>
      </c>
      <c r="U31" s="12">
        <f t="shared" si="7"/>
        <v>365925.60000000003</v>
      </c>
      <c r="V31" s="12">
        <f t="shared" ca="1" si="5"/>
        <v>60987.600000000006</v>
      </c>
      <c r="W31" s="41">
        <f t="shared" si="6"/>
        <v>89451.244771200014</v>
      </c>
    </row>
    <row r="32" spans="1:23" x14ac:dyDescent="0.25">
      <c r="A32" s="35">
        <v>1204</v>
      </c>
      <c r="B32" s="17">
        <v>2012</v>
      </c>
      <c r="C32" s="36" t="s">
        <v>94</v>
      </c>
      <c r="D32" s="3" t="s">
        <v>139</v>
      </c>
      <c r="E32" s="4" t="s">
        <v>140</v>
      </c>
      <c r="F32" s="3" t="s">
        <v>81</v>
      </c>
      <c r="G32" s="37">
        <v>41091</v>
      </c>
      <c r="H32" s="38">
        <v>2018</v>
      </c>
      <c r="I32" s="38">
        <v>2021</v>
      </c>
      <c r="J32" s="38" t="s">
        <v>134</v>
      </c>
      <c r="K32" s="4" t="s">
        <v>83</v>
      </c>
      <c r="L32" s="38">
        <v>12</v>
      </c>
      <c r="M32" s="38">
        <f t="shared" ca="1" si="0"/>
        <v>10</v>
      </c>
      <c r="N32" s="38">
        <f t="shared" ca="1" si="1"/>
        <v>2</v>
      </c>
      <c r="O32" s="39">
        <f t="shared" ca="1" si="2"/>
        <v>0.16666666666666666</v>
      </c>
      <c r="P32" s="10">
        <v>477139</v>
      </c>
      <c r="Q32" s="10">
        <v>500000</v>
      </c>
      <c r="R32" s="10">
        <f t="shared" si="3"/>
        <v>22861</v>
      </c>
      <c r="S32" s="39">
        <f t="shared" si="4"/>
        <v>4.5721999999999999E-2</v>
      </c>
      <c r="T32" s="40">
        <v>457407</v>
      </c>
      <c r="U32" s="12">
        <f t="shared" si="7"/>
        <v>365925.60000000003</v>
      </c>
      <c r="V32" s="12">
        <f t="shared" ca="1" si="5"/>
        <v>60987.600000000006</v>
      </c>
      <c r="W32" s="41">
        <f t="shared" si="6"/>
        <v>16730.850283200001</v>
      </c>
    </row>
    <row r="33" spans="1:23" x14ac:dyDescent="0.25">
      <c r="A33" s="35">
        <v>1205</v>
      </c>
      <c r="B33" s="17">
        <v>2012</v>
      </c>
      <c r="C33" s="36" t="s">
        <v>94</v>
      </c>
      <c r="D33" s="3" t="s">
        <v>141</v>
      </c>
      <c r="E33" s="4" t="s">
        <v>142</v>
      </c>
      <c r="F33" s="3" t="s">
        <v>81</v>
      </c>
      <c r="G33" s="37">
        <v>41091</v>
      </c>
      <c r="H33" s="38">
        <v>2020</v>
      </c>
      <c r="I33" s="38">
        <v>2021</v>
      </c>
      <c r="J33" s="38" t="s">
        <v>134</v>
      </c>
      <c r="K33" s="4" t="s">
        <v>83</v>
      </c>
      <c r="L33" s="38">
        <v>12</v>
      </c>
      <c r="M33" s="38">
        <f t="shared" ca="1" si="0"/>
        <v>10</v>
      </c>
      <c r="N33" s="38">
        <f t="shared" ca="1" si="1"/>
        <v>2</v>
      </c>
      <c r="O33" s="39">
        <f t="shared" ca="1" si="2"/>
        <v>0.16666666666666666</v>
      </c>
      <c r="P33" s="10">
        <v>343907</v>
      </c>
      <c r="Q33" s="10">
        <v>500000</v>
      </c>
      <c r="R33" s="10">
        <f t="shared" si="3"/>
        <v>156093</v>
      </c>
      <c r="S33" s="39">
        <f t="shared" si="4"/>
        <v>0.31218600000000002</v>
      </c>
      <c r="T33" s="40">
        <v>457407</v>
      </c>
      <c r="U33" s="12">
        <f t="shared" si="7"/>
        <v>365925.60000000003</v>
      </c>
      <c r="V33" s="12">
        <f t="shared" ca="1" si="5"/>
        <v>60987.600000000006</v>
      </c>
      <c r="W33" s="41">
        <f t="shared" si="6"/>
        <v>114236.84936160002</v>
      </c>
    </row>
    <row r="34" spans="1:23" x14ac:dyDescent="0.25">
      <c r="A34" s="35">
        <v>1701</v>
      </c>
      <c r="B34" s="17">
        <v>2017</v>
      </c>
      <c r="C34" s="3" t="s">
        <v>78</v>
      </c>
      <c r="D34" s="3" t="s">
        <v>143</v>
      </c>
      <c r="E34" s="4" t="s">
        <v>144</v>
      </c>
      <c r="F34" s="3" t="s">
        <v>81</v>
      </c>
      <c r="G34" s="37">
        <v>42975</v>
      </c>
      <c r="H34" s="38">
        <v>2023</v>
      </c>
      <c r="I34" s="38">
        <v>2025</v>
      </c>
      <c r="J34" s="38" t="s">
        <v>18</v>
      </c>
      <c r="K34" s="4" t="s">
        <v>83</v>
      </c>
      <c r="L34" s="38">
        <v>12</v>
      </c>
      <c r="M34" s="38">
        <f t="shared" ca="1" si="0"/>
        <v>5</v>
      </c>
      <c r="N34" s="38">
        <f t="shared" ca="1" si="1"/>
        <v>7</v>
      </c>
      <c r="O34" s="39">
        <f t="shared" ca="1" si="2"/>
        <v>0.58333333333333337</v>
      </c>
      <c r="P34" s="10">
        <v>338599</v>
      </c>
      <c r="Q34" s="10">
        <v>500000</v>
      </c>
      <c r="R34" s="10">
        <f t="shared" si="3"/>
        <v>161401</v>
      </c>
      <c r="S34" s="39">
        <f t="shared" si="4"/>
        <v>0.32280199999999998</v>
      </c>
      <c r="T34" s="40">
        <v>464796</v>
      </c>
      <c r="U34" s="12">
        <f t="shared" si="7"/>
        <v>371836.80000000005</v>
      </c>
      <c r="V34" s="12">
        <f t="shared" ca="1" si="5"/>
        <v>216904.80000000005</v>
      </c>
      <c r="W34" s="41">
        <f t="shared" si="6"/>
        <v>120029.6627136</v>
      </c>
    </row>
    <row r="35" spans="1:23" x14ac:dyDescent="0.25">
      <c r="A35" s="35">
        <v>1702</v>
      </c>
      <c r="B35" s="17">
        <v>2017</v>
      </c>
      <c r="C35" s="3" t="s">
        <v>78</v>
      </c>
      <c r="D35" s="3" t="s">
        <v>145</v>
      </c>
      <c r="E35" s="4" t="s">
        <v>146</v>
      </c>
      <c r="F35" s="3" t="s">
        <v>81</v>
      </c>
      <c r="G35" s="37">
        <v>42975</v>
      </c>
      <c r="H35" s="38">
        <v>2023</v>
      </c>
      <c r="I35" s="38">
        <v>2025</v>
      </c>
      <c r="J35" s="38" t="s">
        <v>18</v>
      </c>
      <c r="K35" s="4" t="s">
        <v>83</v>
      </c>
      <c r="L35" s="38">
        <v>12</v>
      </c>
      <c r="M35" s="38">
        <f t="shared" ca="1" si="0"/>
        <v>5</v>
      </c>
      <c r="N35" s="38">
        <f t="shared" ca="1" si="1"/>
        <v>7</v>
      </c>
      <c r="O35" s="39">
        <f t="shared" ca="1" si="2"/>
        <v>0.58333333333333337</v>
      </c>
      <c r="P35" s="10">
        <v>385408</v>
      </c>
      <c r="Q35" s="10">
        <v>500000</v>
      </c>
      <c r="R35" s="10">
        <f t="shared" si="3"/>
        <v>114592</v>
      </c>
      <c r="S35" s="39">
        <f t="shared" si="4"/>
        <v>0.229184</v>
      </c>
      <c r="T35" s="40">
        <v>464796</v>
      </c>
      <c r="U35" s="12">
        <f t="shared" si="7"/>
        <v>371836.80000000005</v>
      </c>
      <c r="V35" s="12">
        <f t="shared" ca="1" si="5"/>
        <v>216904.80000000005</v>
      </c>
      <c r="W35" s="41">
        <f t="shared" si="6"/>
        <v>85219.045171200007</v>
      </c>
    </row>
    <row r="36" spans="1:23" x14ac:dyDescent="0.25">
      <c r="A36" s="35">
        <v>1703</v>
      </c>
      <c r="B36" s="17">
        <v>2017</v>
      </c>
      <c r="C36" s="3" t="s">
        <v>78</v>
      </c>
      <c r="D36" s="3" t="s">
        <v>147</v>
      </c>
      <c r="E36" s="4" t="s">
        <v>148</v>
      </c>
      <c r="F36" s="3" t="s">
        <v>81</v>
      </c>
      <c r="G36" s="37">
        <v>42975</v>
      </c>
      <c r="H36" s="38">
        <v>2023</v>
      </c>
      <c r="I36" s="38">
        <v>2025</v>
      </c>
      <c r="J36" s="38" t="s">
        <v>18</v>
      </c>
      <c r="K36" s="4" t="s">
        <v>83</v>
      </c>
      <c r="L36" s="38">
        <v>12</v>
      </c>
      <c r="M36" s="38">
        <f t="shared" ca="1" si="0"/>
        <v>5</v>
      </c>
      <c r="N36" s="38">
        <f t="shared" ca="1" si="1"/>
        <v>7</v>
      </c>
      <c r="O36" s="39">
        <f t="shared" ca="1" si="2"/>
        <v>0.58333333333333337</v>
      </c>
      <c r="P36" s="10">
        <v>356528</v>
      </c>
      <c r="Q36" s="10">
        <v>500000</v>
      </c>
      <c r="R36" s="10">
        <f t="shared" si="3"/>
        <v>143472</v>
      </c>
      <c r="S36" s="39">
        <f t="shared" si="4"/>
        <v>0.28694399999999998</v>
      </c>
      <c r="T36" s="40">
        <v>464796</v>
      </c>
      <c r="U36" s="12">
        <f t="shared" si="7"/>
        <v>371836.80000000005</v>
      </c>
      <c r="V36" s="12">
        <f t="shared" ca="1" si="5"/>
        <v>216904.80000000005</v>
      </c>
      <c r="W36" s="41">
        <f t="shared" si="6"/>
        <v>106696.3387392</v>
      </c>
    </row>
    <row r="37" spans="1:23" x14ac:dyDescent="0.25">
      <c r="A37" s="35">
        <v>1704</v>
      </c>
      <c r="B37" s="17">
        <v>2017</v>
      </c>
      <c r="C37" s="3" t="s">
        <v>78</v>
      </c>
      <c r="D37" s="3" t="s">
        <v>149</v>
      </c>
      <c r="E37" s="4" t="s">
        <v>150</v>
      </c>
      <c r="F37" s="3" t="s">
        <v>81</v>
      </c>
      <c r="G37" s="37">
        <v>42975</v>
      </c>
      <c r="H37" s="38">
        <v>2023</v>
      </c>
      <c r="I37" s="38">
        <v>2025</v>
      </c>
      <c r="J37" s="38" t="s">
        <v>18</v>
      </c>
      <c r="K37" s="4" t="s">
        <v>83</v>
      </c>
      <c r="L37" s="38">
        <v>12</v>
      </c>
      <c r="M37" s="38">
        <f t="shared" ca="1" si="0"/>
        <v>5</v>
      </c>
      <c r="N37" s="38">
        <f t="shared" ca="1" si="1"/>
        <v>7</v>
      </c>
      <c r="O37" s="39">
        <f t="shared" ca="1" si="2"/>
        <v>0.58333333333333337</v>
      </c>
      <c r="P37" s="10">
        <v>361294</v>
      </c>
      <c r="Q37" s="10">
        <v>500000</v>
      </c>
      <c r="R37" s="10">
        <f t="shared" si="3"/>
        <v>138706</v>
      </c>
      <c r="S37" s="39">
        <f t="shared" si="4"/>
        <v>0.27741199999999999</v>
      </c>
      <c r="T37" s="40">
        <v>464796</v>
      </c>
      <c r="U37" s="12">
        <f t="shared" si="7"/>
        <v>371836.80000000005</v>
      </c>
      <c r="V37" s="12">
        <f t="shared" ca="1" si="5"/>
        <v>216904.80000000005</v>
      </c>
      <c r="W37" s="41">
        <f t="shared" si="6"/>
        <v>103151.99036160001</v>
      </c>
    </row>
    <row r="38" spans="1:23" x14ac:dyDescent="0.25">
      <c r="A38" s="35">
        <v>1705</v>
      </c>
      <c r="B38" s="17">
        <v>2017</v>
      </c>
      <c r="C38" s="3" t="s">
        <v>78</v>
      </c>
      <c r="D38" s="3" t="s">
        <v>151</v>
      </c>
      <c r="E38" s="4" t="s">
        <v>152</v>
      </c>
      <c r="F38" s="3" t="s">
        <v>81</v>
      </c>
      <c r="G38" s="37">
        <v>42975</v>
      </c>
      <c r="H38" s="38">
        <v>2023</v>
      </c>
      <c r="I38" s="38">
        <v>2025</v>
      </c>
      <c r="J38" s="38" t="s">
        <v>18</v>
      </c>
      <c r="K38" s="4" t="s">
        <v>83</v>
      </c>
      <c r="L38" s="38">
        <v>12</v>
      </c>
      <c r="M38" s="38">
        <f t="shared" ca="1" si="0"/>
        <v>5</v>
      </c>
      <c r="N38" s="38">
        <f t="shared" ca="1" si="1"/>
        <v>7</v>
      </c>
      <c r="O38" s="39">
        <f t="shared" ca="1" si="2"/>
        <v>0.58333333333333337</v>
      </c>
      <c r="P38" s="10">
        <v>295766</v>
      </c>
      <c r="Q38" s="10">
        <v>500000</v>
      </c>
      <c r="R38" s="10">
        <f t="shared" si="3"/>
        <v>204234</v>
      </c>
      <c r="S38" s="39">
        <f t="shared" si="4"/>
        <v>0.408468</v>
      </c>
      <c r="T38" s="40">
        <v>464796</v>
      </c>
      <c r="U38" s="12">
        <f t="shared" si="7"/>
        <v>371836.80000000005</v>
      </c>
      <c r="V38" s="12">
        <f t="shared" ca="1" si="5"/>
        <v>216904.80000000005</v>
      </c>
      <c r="W38" s="41">
        <f t="shared" si="6"/>
        <v>151883.4340224</v>
      </c>
    </row>
    <row r="39" spans="1:23" x14ac:dyDescent="0.25">
      <c r="A39" s="35">
        <v>1706</v>
      </c>
      <c r="B39" s="17">
        <v>2017</v>
      </c>
      <c r="C39" s="3" t="s">
        <v>78</v>
      </c>
      <c r="D39" s="3" t="s">
        <v>153</v>
      </c>
      <c r="E39" s="4" t="s">
        <v>154</v>
      </c>
      <c r="F39" s="3" t="s">
        <v>81</v>
      </c>
      <c r="G39" s="37">
        <v>42975</v>
      </c>
      <c r="H39" s="38">
        <v>2023</v>
      </c>
      <c r="I39" s="38">
        <v>2025</v>
      </c>
      <c r="J39" s="38" t="s">
        <v>18</v>
      </c>
      <c r="K39" s="4" t="s">
        <v>83</v>
      </c>
      <c r="L39" s="38">
        <v>12</v>
      </c>
      <c r="M39" s="38">
        <f t="shared" ca="1" si="0"/>
        <v>5</v>
      </c>
      <c r="N39" s="38">
        <f t="shared" ca="1" si="1"/>
        <v>7</v>
      </c>
      <c r="O39" s="39">
        <f t="shared" ca="1" si="2"/>
        <v>0.58333333333333337</v>
      </c>
      <c r="P39" s="10">
        <v>363035</v>
      </c>
      <c r="Q39" s="10">
        <v>500000</v>
      </c>
      <c r="R39" s="10">
        <f t="shared" si="3"/>
        <v>136965</v>
      </c>
      <c r="S39" s="39">
        <f t="shared" si="4"/>
        <v>0.27393000000000001</v>
      </c>
      <c r="T39" s="40">
        <v>464796</v>
      </c>
      <c r="U39" s="12">
        <f t="shared" si="7"/>
        <v>371836.80000000005</v>
      </c>
      <c r="V39" s="12">
        <f t="shared" ca="1" si="5"/>
        <v>216904.80000000005</v>
      </c>
      <c r="W39" s="41">
        <f t="shared" si="6"/>
        <v>101857.25462400001</v>
      </c>
    </row>
    <row r="40" spans="1:23" x14ac:dyDescent="0.25">
      <c r="A40" s="35">
        <v>1707</v>
      </c>
      <c r="B40" s="17">
        <v>2017</v>
      </c>
      <c r="C40" s="3" t="s">
        <v>78</v>
      </c>
      <c r="D40" s="3" t="s">
        <v>155</v>
      </c>
      <c r="E40" s="4" t="s">
        <v>156</v>
      </c>
      <c r="F40" s="3" t="s">
        <v>81</v>
      </c>
      <c r="G40" s="37">
        <v>42975</v>
      </c>
      <c r="H40" s="38">
        <v>2023</v>
      </c>
      <c r="I40" s="38">
        <v>2025</v>
      </c>
      <c r="J40" s="38" t="s">
        <v>18</v>
      </c>
      <c r="K40" s="4" t="s">
        <v>83</v>
      </c>
      <c r="L40" s="38">
        <v>12</v>
      </c>
      <c r="M40" s="38">
        <f t="shared" ca="1" si="0"/>
        <v>5</v>
      </c>
      <c r="N40" s="38">
        <f t="shared" ca="1" si="1"/>
        <v>7</v>
      </c>
      <c r="O40" s="39">
        <f t="shared" ca="1" si="2"/>
        <v>0.58333333333333337</v>
      </c>
      <c r="P40" s="10">
        <v>324280</v>
      </c>
      <c r="Q40" s="10">
        <v>500000</v>
      </c>
      <c r="R40" s="10">
        <f t="shared" si="3"/>
        <v>175720</v>
      </c>
      <c r="S40" s="39">
        <f t="shared" si="4"/>
        <v>0.35143999999999997</v>
      </c>
      <c r="T40" s="40">
        <v>464796</v>
      </c>
      <c r="U40" s="12">
        <f t="shared" si="7"/>
        <v>371836.80000000005</v>
      </c>
      <c r="V40" s="12">
        <f t="shared" ca="1" si="5"/>
        <v>216904.80000000005</v>
      </c>
      <c r="W40" s="41">
        <f t="shared" si="6"/>
        <v>130678.32499200001</v>
      </c>
    </row>
    <row r="41" spans="1:23" x14ac:dyDescent="0.25">
      <c r="A41" s="35">
        <v>1708</v>
      </c>
      <c r="B41" s="17">
        <v>2017</v>
      </c>
      <c r="C41" s="3" t="s">
        <v>78</v>
      </c>
      <c r="D41" s="3" t="s">
        <v>157</v>
      </c>
      <c r="E41" s="4" t="s">
        <v>158</v>
      </c>
      <c r="F41" s="3" t="s">
        <v>81</v>
      </c>
      <c r="G41" s="37">
        <v>42975</v>
      </c>
      <c r="H41" s="38">
        <v>2023</v>
      </c>
      <c r="I41" s="38">
        <v>2025</v>
      </c>
      <c r="J41" s="38" t="s">
        <v>18</v>
      </c>
      <c r="K41" s="4" t="s">
        <v>83</v>
      </c>
      <c r="L41" s="38">
        <v>12</v>
      </c>
      <c r="M41" s="38">
        <f t="shared" ca="1" si="0"/>
        <v>5</v>
      </c>
      <c r="N41" s="38">
        <f t="shared" ca="1" si="1"/>
        <v>7</v>
      </c>
      <c r="O41" s="39">
        <f t="shared" ca="1" si="2"/>
        <v>0.58333333333333337</v>
      </c>
      <c r="P41" s="10">
        <v>304986</v>
      </c>
      <c r="Q41" s="10">
        <v>500000</v>
      </c>
      <c r="R41" s="10">
        <f t="shared" si="3"/>
        <v>195014</v>
      </c>
      <c r="S41" s="39">
        <f t="shared" si="4"/>
        <v>0.39002799999999999</v>
      </c>
      <c r="T41" s="40">
        <v>464796</v>
      </c>
      <c r="U41" s="12">
        <f t="shared" si="7"/>
        <v>371836.80000000005</v>
      </c>
      <c r="V41" s="12">
        <f t="shared" ca="1" si="5"/>
        <v>216904.80000000005</v>
      </c>
      <c r="W41" s="41">
        <f t="shared" si="6"/>
        <v>145026.76343040002</v>
      </c>
    </row>
    <row r="42" spans="1:23" x14ac:dyDescent="0.25">
      <c r="A42" s="35">
        <v>1709</v>
      </c>
      <c r="B42" s="17">
        <v>2017</v>
      </c>
      <c r="C42" s="3" t="s">
        <v>78</v>
      </c>
      <c r="D42" s="3" t="s">
        <v>159</v>
      </c>
      <c r="E42" s="4" t="s">
        <v>160</v>
      </c>
      <c r="F42" s="3" t="s">
        <v>81</v>
      </c>
      <c r="G42" s="37">
        <v>42975</v>
      </c>
      <c r="H42" s="38">
        <v>2023</v>
      </c>
      <c r="I42" s="38">
        <v>2025</v>
      </c>
      <c r="J42" s="38" t="s">
        <v>18</v>
      </c>
      <c r="K42" s="4" t="s">
        <v>83</v>
      </c>
      <c r="L42" s="38">
        <v>12</v>
      </c>
      <c r="M42" s="38">
        <f t="shared" ca="1" si="0"/>
        <v>5</v>
      </c>
      <c r="N42" s="38">
        <f t="shared" ca="1" si="1"/>
        <v>7</v>
      </c>
      <c r="O42" s="39">
        <f t="shared" ca="1" si="2"/>
        <v>0.58333333333333337</v>
      </c>
      <c r="P42" s="10">
        <v>357393</v>
      </c>
      <c r="Q42" s="10">
        <v>500000</v>
      </c>
      <c r="R42" s="10">
        <f t="shared" si="3"/>
        <v>142607</v>
      </c>
      <c r="S42" s="39">
        <f t="shared" si="4"/>
        <v>0.28521400000000002</v>
      </c>
      <c r="T42" s="40">
        <v>464796</v>
      </c>
      <c r="U42" s="12">
        <f t="shared" si="7"/>
        <v>371836.80000000005</v>
      </c>
      <c r="V42" s="12">
        <f t="shared" ca="1" si="5"/>
        <v>216904.80000000005</v>
      </c>
      <c r="W42" s="41">
        <f t="shared" si="6"/>
        <v>106053.06107520002</v>
      </c>
    </row>
    <row r="43" spans="1:23" x14ac:dyDescent="0.25">
      <c r="A43" s="35">
        <v>1710</v>
      </c>
      <c r="B43" s="17">
        <v>2017</v>
      </c>
      <c r="C43" s="3" t="s">
        <v>78</v>
      </c>
      <c r="D43" s="3" t="s">
        <v>161</v>
      </c>
      <c r="E43" s="4" t="s">
        <v>162</v>
      </c>
      <c r="F43" s="3" t="s">
        <v>81</v>
      </c>
      <c r="G43" s="37">
        <v>42975</v>
      </c>
      <c r="H43" s="38">
        <v>2023</v>
      </c>
      <c r="I43" s="38">
        <v>2025</v>
      </c>
      <c r="J43" s="38" t="s">
        <v>18</v>
      </c>
      <c r="K43" s="4" t="s">
        <v>83</v>
      </c>
      <c r="L43" s="38">
        <v>12</v>
      </c>
      <c r="M43" s="38">
        <f t="shared" ca="1" si="0"/>
        <v>5</v>
      </c>
      <c r="N43" s="38">
        <f t="shared" ca="1" si="1"/>
        <v>7</v>
      </c>
      <c r="O43" s="39">
        <f t="shared" ca="1" si="2"/>
        <v>0.58333333333333337</v>
      </c>
      <c r="P43" s="10">
        <v>357350</v>
      </c>
      <c r="Q43" s="10">
        <v>500000</v>
      </c>
      <c r="R43" s="10">
        <f t="shared" si="3"/>
        <v>142650</v>
      </c>
      <c r="S43" s="39">
        <f t="shared" si="4"/>
        <v>0.2853</v>
      </c>
      <c r="T43" s="40">
        <v>464796</v>
      </c>
      <c r="U43" s="12">
        <f t="shared" si="7"/>
        <v>371836.80000000005</v>
      </c>
      <c r="V43" s="12">
        <f t="shared" ca="1" si="5"/>
        <v>216904.80000000005</v>
      </c>
      <c r="W43" s="41">
        <f t="shared" si="6"/>
        <v>106085.03904000002</v>
      </c>
    </row>
    <row r="44" spans="1:23" x14ac:dyDescent="0.25">
      <c r="A44" s="35">
        <v>1711</v>
      </c>
      <c r="B44" s="17">
        <v>2017</v>
      </c>
      <c r="C44" s="3" t="s">
        <v>78</v>
      </c>
      <c r="D44" s="3" t="s">
        <v>163</v>
      </c>
      <c r="E44" s="4" t="s">
        <v>164</v>
      </c>
      <c r="F44" s="3" t="s">
        <v>81</v>
      </c>
      <c r="G44" s="37">
        <v>42975</v>
      </c>
      <c r="H44" s="38">
        <v>2023</v>
      </c>
      <c r="I44" s="38">
        <v>2025</v>
      </c>
      <c r="J44" s="38" t="s">
        <v>18</v>
      </c>
      <c r="K44" s="4" t="s">
        <v>83</v>
      </c>
      <c r="L44" s="38">
        <v>12</v>
      </c>
      <c r="M44" s="38">
        <f t="shared" ca="1" si="0"/>
        <v>5</v>
      </c>
      <c r="N44" s="38">
        <f t="shared" ca="1" si="1"/>
        <v>7</v>
      </c>
      <c r="O44" s="39">
        <f t="shared" ca="1" si="2"/>
        <v>0.58333333333333337</v>
      </c>
      <c r="P44" s="10">
        <v>371349</v>
      </c>
      <c r="Q44" s="10">
        <v>500000</v>
      </c>
      <c r="R44" s="10">
        <f t="shared" si="3"/>
        <v>128651</v>
      </c>
      <c r="S44" s="39">
        <f t="shared" si="4"/>
        <v>0.25730199999999998</v>
      </c>
      <c r="T44" s="40">
        <v>464796</v>
      </c>
      <c r="U44" s="12">
        <f t="shared" si="7"/>
        <v>371836.80000000005</v>
      </c>
      <c r="V44" s="12">
        <f t="shared" ca="1" si="5"/>
        <v>216904.80000000005</v>
      </c>
      <c r="W44" s="41">
        <f t="shared" si="6"/>
        <v>95674.3523136</v>
      </c>
    </row>
    <row r="45" spans="1:23" x14ac:dyDescent="0.25">
      <c r="A45" s="35">
        <v>1712</v>
      </c>
      <c r="B45" s="17">
        <v>2017</v>
      </c>
      <c r="C45" s="3" t="s">
        <v>78</v>
      </c>
      <c r="D45" s="3" t="s">
        <v>165</v>
      </c>
      <c r="E45" s="4" t="s">
        <v>166</v>
      </c>
      <c r="F45" s="3" t="s">
        <v>81</v>
      </c>
      <c r="G45" s="37">
        <v>42975</v>
      </c>
      <c r="H45" s="38">
        <v>2023</v>
      </c>
      <c r="I45" s="38">
        <v>2025</v>
      </c>
      <c r="J45" s="38" t="s">
        <v>18</v>
      </c>
      <c r="K45" s="4" t="s">
        <v>83</v>
      </c>
      <c r="L45" s="38">
        <v>12</v>
      </c>
      <c r="M45" s="38">
        <f t="shared" ca="1" si="0"/>
        <v>5</v>
      </c>
      <c r="N45" s="38">
        <f t="shared" ca="1" si="1"/>
        <v>7</v>
      </c>
      <c r="O45" s="39">
        <f t="shared" ca="1" si="2"/>
        <v>0.58333333333333337</v>
      </c>
      <c r="P45" s="10">
        <v>313695</v>
      </c>
      <c r="Q45" s="10">
        <v>500000</v>
      </c>
      <c r="R45" s="10">
        <f t="shared" si="3"/>
        <v>186305</v>
      </c>
      <c r="S45" s="39">
        <f t="shared" si="4"/>
        <v>0.37261</v>
      </c>
      <c r="T45" s="40">
        <v>464796</v>
      </c>
      <c r="U45" s="12">
        <f t="shared" si="7"/>
        <v>371836.80000000005</v>
      </c>
      <c r="V45" s="12">
        <f t="shared" ca="1" si="5"/>
        <v>216904.80000000005</v>
      </c>
      <c r="W45" s="41">
        <f t="shared" si="6"/>
        <v>138550.110048</v>
      </c>
    </row>
    <row r="46" spans="1:23" x14ac:dyDescent="0.25">
      <c r="A46" s="42">
        <v>1801</v>
      </c>
      <c r="B46" s="43">
        <v>2018</v>
      </c>
      <c r="C46" s="44" t="s">
        <v>78</v>
      </c>
      <c r="D46" s="44" t="s">
        <v>167</v>
      </c>
      <c r="E46" s="45" t="s">
        <v>168</v>
      </c>
      <c r="F46" s="44" t="s">
        <v>81</v>
      </c>
      <c r="G46" s="46">
        <v>43191</v>
      </c>
      <c r="H46" s="47">
        <v>2024</v>
      </c>
      <c r="I46" s="47">
        <v>2026</v>
      </c>
      <c r="J46" s="47" t="s">
        <v>18</v>
      </c>
      <c r="K46" s="45" t="s">
        <v>83</v>
      </c>
      <c r="L46" s="47">
        <v>12</v>
      </c>
      <c r="M46" s="38">
        <f t="shared" ca="1" si="0"/>
        <v>4</v>
      </c>
      <c r="N46" s="47">
        <f t="shared" ca="1" si="1"/>
        <v>8</v>
      </c>
      <c r="O46" s="48">
        <f t="shared" ca="1" si="2"/>
        <v>0.66666666666666663</v>
      </c>
      <c r="P46" s="49">
        <v>344973</v>
      </c>
      <c r="Q46" s="49">
        <v>500000</v>
      </c>
      <c r="R46" s="49">
        <f t="shared" si="3"/>
        <v>155027</v>
      </c>
      <c r="S46" s="48">
        <f t="shared" si="4"/>
        <v>0.310054</v>
      </c>
      <c r="T46" s="40">
        <v>473766</v>
      </c>
      <c r="U46" s="40">
        <f t="shared" si="7"/>
        <v>379012.80000000005</v>
      </c>
      <c r="V46" s="40">
        <f t="shared" ca="1" si="5"/>
        <v>252675.20000000001</v>
      </c>
      <c r="W46" s="50">
        <f t="shared" si="6"/>
        <v>117514.43469120002</v>
      </c>
    </row>
    <row r="47" spans="1:23" x14ac:dyDescent="0.25">
      <c r="A47" s="35">
        <v>1802</v>
      </c>
      <c r="B47" s="17">
        <v>2018</v>
      </c>
      <c r="C47" s="3" t="s">
        <v>78</v>
      </c>
      <c r="D47" s="3" t="s">
        <v>169</v>
      </c>
      <c r="E47" s="4" t="s">
        <v>170</v>
      </c>
      <c r="F47" s="3" t="s">
        <v>81</v>
      </c>
      <c r="G47" s="37">
        <v>43191</v>
      </c>
      <c r="H47" s="47">
        <v>2024</v>
      </c>
      <c r="I47" s="47">
        <v>2026</v>
      </c>
      <c r="J47" s="38" t="s">
        <v>18</v>
      </c>
      <c r="K47" s="4" t="s">
        <v>83</v>
      </c>
      <c r="L47" s="38">
        <v>12</v>
      </c>
      <c r="M47" s="38">
        <f t="shared" ca="1" si="0"/>
        <v>4</v>
      </c>
      <c r="N47" s="38">
        <f t="shared" ca="1" si="1"/>
        <v>8</v>
      </c>
      <c r="O47" s="39">
        <f t="shared" ca="1" si="2"/>
        <v>0.66666666666666663</v>
      </c>
      <c r="P47" s="10">
        <v>338123</v>
      </c>
      <c r="Q47" s="10">
        <v>500000</v>
      </c>
      <c r="R47" s="10">
        <f t="shared" si="3"/>
        <v>161877</v>
      </c>
      <c r="S47" s="39">
        <f t="shared" si="4"/>
        <v>0.32375399999999999</v>
      </c>
      <c r="T47" s="40">
        <v>473766</v>
      </c>
      <c r="U47" s="12">
        <f t="shared" si="7"/>
        <v>379012.80000000005</v>
      </c>
      <c r="V47" s="12">
        <f t="shared" ca="1" si="5"/>
        <v>252675.20000000001</v>
      </c>
      <c r="W47" s="41">
        <f t="shared" si="6"/>
        <v>122706.91005120002</v>
      </c>
    </row>
    <row r="48" spans="1:23" x14ac:dyDescent="0.25">
      <c r="A48" s="35">
        <v>1803</v>
      </c>
      <c r="B48" s="17">
        <v>2018</v>
      </c>
      <c r="C48" s="3" t="s">
        <v>78</v>
      </c>
      <c r="D48" s="3" t="s">
        <v>171</v>
      </c>
      <c r="E48" s="4" t="s">
        <v>172</v>
      </c>
      <c r="F48" s="3" t="s">
        <v>81</v>
      </c>
      <c r="G48" s="37">
        <v>43191</v>
      </c>
      <c r="H48" s="47">
        <v>2024</v>
      </c>
      <c r="I48" s="47">
        <v>2026</v>
      </c>
      <c r="J48" s="38" t="s">
        <v>18</v>
      </c>
      <c r="K48" s="4" t="s">
        <v>83</v>
      </c>
      <c r="L48" s="38">
        <v>12</v>
      </c>
      <c r="M48" s="38">
        <f t="shared" ca="1" si="0"/>
        <v>4</v>
      </c>
      <c r="N48" s="38">
        <f t="shared" ca="1" si="1"/>
        <v>8</v>
      </c>
      <c r="O48" s="39">
        <f t="shared" ca="1" si="2"/>
        <v>0.66666666666666663</v>
      </c>
      <c r="P48" s="10">
        <v>328967</v>
      </c>
      <c r="Q48" s="10">
        <v>500000</v>
      </c>
      <c r="R48" s="10">
        <f t="shared" si="3"/>
        <v>171033</v>
      </c>
      <c r="S48" s="39">
        <f t="shared" si="4"/>
        <v>0.34206599999999998</v>
      </c>
      <c r="T48" s="12">
        <v>473766</v>
      </c>
      <c r="U48" s="12">
        <f t="shared" si="7"/>
        <v>379012.80000000005</v>
      </c>
      <c r="V48" s="12">
        <f t="shared" ca="1" si="5"/>
        <v>252675.20000000001</v>
      </c>
      <c r="W48" s="41">
        <f t="shared" si="6"/>
        <v>129647.3924448</v>
      </c>
    </row>
    <row r="49" spans="1:23" x14ac:dyDescent="0.25">
      <c r="A49" s="51">
        <v>1901</v>
      </c>
      <c r="B49" s="52">
        <v>2019</v>
      </c>
      <c r="C49" s="3" t="s">
        <v>78</v>
      </c>
      <c r="D49" s="53" t="s">
        <v>173</v>
      </c>
      <c r="E49" s="54" t="s">
        <v>174</v>
      </c>
      <c r="F49" s="3" t="s">
        <v>81</v>
      </c>
      <c r="G49" s="55">
        <v>43675</v>
      </c>
      <c r="H49" s="38">
        <v>2025</v>
      </c>
      <c r="I49" s="38">
        <v>2027</v>
      </c>
      <c r="J49" s="56" t="s">
        <v>18</v>
      </c>
      <c r="K49" s="4" t="s">
        <v>83</v>
      </c>
      <c r="L49" s="56">
        <v>12</v>
      </c>
      <c r="M49" s="38">
        <f t="shared" ca="1" si="0"/>
        <v>3</v>
      </c>
      <c r="N49" s="38">
        <f t="shared" ca="1" si="1"/>
        <v>9</v>
      </c>
      <c r="O49" s="39">
        <f t="shared" ca="1" si="2"/>
        <v>0.75</v>
      </c>
      <c r="P49" s="57">
        <v>233411</v>
      </c>
      <c r="Q49" s="10">
        <v>500000</v>
      </c>
      <c r="R49" s="10">
        <f t="shared" si="3"/>
        <v>266589</v>
      </c>
      <c r="S49" s="39">
        <f t="shared" si="4"/>
        <v>0.53317800000000004</v>
      </c>
      <c r="T49" s="12">
        <v>473766</v>
      </c>
      <c r="U49" s="12">
        <f t="shared" si="7"/>
        <v>379012.80000000005</v>
      </c>
      <c r="V49" s="12">
        <f t="shared" ca="1" si="5"/>
        <v>284259.60000000003</v>
      </c>
      <c r="W49" s="41">
        <f t="shared" si="6"/>
        <v>202081.28667840004</v>
      </c>
    </row>
    <row r="50" spans="1:23" x14ac:dyDescent="0.25">
      <c r="A50" s="58">
        <v>1902</v>
      </c>
      <c r="B50" s="59">
        <v>2019</v>
      </c>
      <c r="C50" s="3" t="s">
        <v>78</v>
      </c>
      <c r="D50" s="60" t="s">
        <v>175</v>
      </c>
      <c r="E50" s="61" t="s">
        <v>176</v>
      </c>
      <c r="F50" s="3" t="s">
        <v>81</v>
      </c>
      <c r="G50" s="55">
        <v>43675</v>
      </c>
      <c r="H50" s="38">
        <v>2025</v>
      </c>
      <c r="I50" s="38">
        <v>2027</v>
      </c>
      <c r="J50" s="62" t="s">
        <v>18</v>
      </c>
      <c r="K50" s="4" t="s">
        <v>83</v>
      </c>
      <c r="L50" s="62">
        <v>12</v>
      </c>
      <c r="M50" s="38">
        <f t="shared" ca="1" si="0"/>
        <v>3</v>
      </c>
      <c r="N50" s="38">
        <f t="shared" ca="1" si="1"/>
        <v>9</v>
      </c>
      <c r="O50" s="39">
        <f t="shared" ca="1" si="2"/>
        <v>0.75</v>
      </c>
      <c r="P50" s="63">
        <v>238940</v>
      </c>
      <c r="Q50" s="10">
        <v>500000</v>
      </c>
      <c r="R50" s="10">
        <f t="shared" si="3"/>
        <v>261060</v>
      </c>
      <c r="S50" s="39">
        <f t="shared" si="4"/>
        <v>0.52212000000000003</v>
      </c>
      <c r="T50" s="12">
        <v>473766</v>
      </c>
      <c r="U50" s="12">
        <f t="shared" si="7"/>
        <v>379012.80000000005</v>
      </c>
      <c r="V50" s="12">
        <f t="shared" ca="1" si="5"/>
        <v>284259.60000000003</v>
      </c>
      <c r="W50" s="41">
        <f t="shared" si="6"/>
        <v>197890.16313600005</v>
      </c>
    </row>
    <row r="51" spans="1:23" x14ac:dyDescent="0.25">
      <c r="A51" s="58">
        <v>1903</v>
      </c>
      <c r="B51" s="59">
        <v>2019</v>
      </c>
      <c r="C51" s="3" t="s">
        <v>78</v>
      </c>
      <c r="D51" s="60" t="s">
        <v>177</v>
      </c>
      <c r="E51" s="61" t="s">
        <v>178</v>
      </c>
      <c r="F51" s="3" t="s">
        <v>81</v>
      </c>
      <c r="G51" s="64">
        <v>43711</v>
      </c>
      <c r="H51" s="38">
        <v>2025</v>
      </c>
      <c r="I51" s="38">
        <v>2027</v>
      </c>
      <c r="J51" s="62" t="s">
        <v>18</v>
      </c>
      <c r="K51" s="4" t="s">
        <v>83</v>
      </c>
      <c r="L51" s="62">
        <v>12</v>
      </c>
      <c r="M51" s="38">
        <f t="shared" ca="1" si="0"/>
        <v>3</v>
      </c>
      <c r="N51" s="38">
        <f t="shared" ca="1" si="1"/>
        <v>9</v>
      </c>
      <c r="O51" s="39">
        <f t="shared" ca="1" si="2"/>
        <v>0.75</v>
      </c>
      <c r="P51" s="63">
        <v>242906</v>
      </c>
      <c r="Q51" s="10">
        <v>500000</v>
      </c>
      <c r="R51" s="10">
        <f t="shared" si="3"/>
        <v>257094</v>
      </c>
      <c r="S51" s="39">
        <f t="shared" si="4"/>
        <v>0.51418799999999998</v>
      </c>
      <c r="T51" s="12">
        <v>485610.15</v>
      </c>
      <c r="U51" s="12">
        <f t="shared" si="7"/>
        <v>388488.12000000005</v>
      </c>
      <c r="V51" s="12">
        <f t="shared" ca="1" si="5"/>
        <v>291366.09000000003</v>
      </c>
      <c r="W51" s="41">
        <f t="shared" si="6"/>
        <v>199755.92944656001</v>
      </c>
    </row>
    <row r="52" spans="1:23" x14ac:dyDescent="0.25">
      <c r="A52" s="35">
        <v>1904</v>
      </c>
      <c r="B52" s="17">
        <v>2019</v>
      </c>
      <c r="C52" s="3" t="s">
        <v>78</v>
      </c>
      <c r="D52" s="3" t="s">
        <v>179</v>
      </c>
      <c r="E52" s="4" t="s">
        <v>180</v>
      </c>
      <c r="F52" s="3" t="s">
        <v>81</v>
      </c>
      <c r="G52" s="37">
        <v>43711</v>
      </c>
      <c r="H52" s="38">
        <v>2025</v>
      </c>
      <c r="I52" s="38">
        <v>2027</v>
      </c>
      <c r="J52" s="38" t="s">
        <v>18</v>
      </c>
      <c r="K52" s="4" t="s">
        <v>83</v>
      </c>
      <c r="L52" s="38">
        <v>12</v>
      </c>
      <c r="M52" s="38">
        <f t="shared" ca="1" si="0"/>
        <v>3</v>
      </c>
      <c r="N52" s="38">
        <f t="shared" ca="1" si="1"/>
        <v>9</v>
      </c>
      <c r="O52" s="39">
        <f t="shared" ca="1" si="2"/>
        <v>0.75</v>
      </c>
      <c r="P52" s="10">
        <v>215780</v>
      </c>
      <c r="Q52" s="10">
        <v>500000</v>
      </c>
      <c r="R52" s="10">
        <f t="shared" si="3"/>
        <v>284220</v>
      </c>
      <c r="S52" s="39">
        <f t="shared" si="4"/>
        <v>0.56843999999999995</v>
      </c>
      <c r="T52" s="12">
        <v>485610.15</v>
      </c>
      <c r="U52" s="12">
        <f t="shared" si="7"/>
        <v>388488.12000000005</v>
      </c>
      <c r="V52" s="12">
        <f t="shared" ca="1" si="5"/>
        <v>291366.09000000003</v>
      </c>
      <c r="W52" s="41">
        <f t="shared" si="6"/>
        <v>220832.18693280002</v>
      </c>
    </row>
    <row r="53" spans="1:23" x14ac:dyDescent="0.25">
      <c r="A53" s="51">
        <v>2101</v>
      </c>
      <c r="B53" s="52">
        <v>2021</v>
      </c>
      <c r="C53" s="3" t="s">
        <v>181</v>
      </c>
      <c r="D53" s="53" t="s">
        <v>182</v>
      </c>
      <c r="E53" s="4" t="s">
        <v>183</v>
      </c>
      <c r="F53" s="3" t="s">
        <v>81</v>
      </c>
      <c r="G53" s="37">
        <v>44317</v>
      </c>
      <c r="H53" s="38" t="s">
        <v>18</v>
      </c>
      <c r="I53" s="38" t="s">
        <v>18</v>
      </c>
      <c r="J53" s="56" t="s">
        <v>18</v>
      </c>
      <c r="K53" s="4" t="s">
        <v>83</v>
      </c>
      <c r="L53" s="56">
        <v>12</v>
      </c>
      <c r="M53" s="38">
        <f t="shared" ca="1" si="0"/>
        <v>1</v>
      </c>
      <c r="N53" s="38">
        <f t="shared" ca="1" si="1"/>
        <v>11</v>
      </c>
      <c r="O53" s="39">
        <f t="shared" ca="1" si="2"/>
        <v>0.91666666666666663</v>
      </c>
      <c r="P53" s="57">
        <v>25791</v>
      </c>
      <c r="Q53" s="10">
        <v>500000</v>
      </c>
      <c r="R53" s="10">
        <f t="shared" si="3"/>
        <v>474209</v>
      </c>
      <c r="S53" s="39">
        <f t="shared" si="4"/>
        <v>0.94841799999999998</v>
      </c>
      <c r="T53" s="12">
        <v>976532</v>
      </c>
      <c r="U53" s="12">
        <f t="shared" si="7"/>
        <v>781225.60000000009</v>
      </c>
      <c r="V53" s="12">
        <f t="shared" ca="1" si="5"/>
        <v>716123.46666666667</v>
      </c>
      <c r="W53" s="41">
        <f t="shared" si="6"/>
        <v>740928.42110080004</v>
      </c>
    </row>
    <row r="54" spans="1:23" x14ac:dyDescent="0.25">
      <c r="A54" s="35">
        <v>2102</v>
      </c>
      <c r="B54" s="17">
        <v>2021</v>
      </c>
      <c r="C54" s="3" t="s">
        <v>181</v>
      </c>
      <c r="D54" s="3" t="s">
        <v>184</v>
      </c>
      <c r="E54" s="4" t="s">
        <v>185</v>
      </c>
      <c r="F54" s="3" t="s">
        <v>81</v>
      </c>
      <c r="G54" s="37">
        <v>44317</v>
      </c>
      <c r="H54" s="38" t="s">
        <v>18</v>
      </c>
      <c r="I54" s="38" t="s">
        <v>18</v>
      </c>
      <c r="J54" s="38" t="s">
        <v>18</v>
      </c>
      <c r="K54" s="4" t="s">
        <v>83</v>
      </c>
      <c r="L54" s="38">
        <v>12</v>
      </c>
      <c r="M54" s="38">
        <f t="shared" ca="1" si="0"/>
        <v>1</v>
      </c>
      <c r="N54" s="38">
        <f t="shared" ca="1" si="1"/>
        <v>11</v>
      </c>
      <c r="O54" s="39">
        <f t="shared" ca="1" si="2"/>
        <v>0.91666666666666663</v>
      </c>
      <c r="P54" s="10">
        <v>19796</v>
      </c>
      <c r="Q54" s="10">
        <v>500000</v>
      </c>
      <c r="R54" s="10">
        <f t="shared" si="3"/>
        <v>480204</v>
      </c>
      <c r="S54" s="39">
        <f t="shared" si="4"/>
        <v>0.96040800000000004</v>
      </c>
      <c r="T54" s="12">
        <v>976532</v>
      </c>
      <c r="U54" s="12">
        <f t="shared" si="7"/>
        <v>781225.60000000009</v>
      </c>
      <c r="V54" s="12">
        <f t="shared" ca="1" si="5"/>
        <v>716123.46666666667</v>
      </c>
      <c r="W54" s="41">
        <f t="shared" si="6"/>
        <v>750295.3160448001</v>
      </c>
    </row>
    <row r="55" spans="1:23" x14ac:dyDescent="0.25">
      <c r="A55" s="35">
        <v>2103</v>
      </c>
      <c r="B55" s="17">
        <v>2021</v>
      </c>
      <c r="C55" s="3" t="s">
        <v>78</v>
      </c>
      <c r="D55" s="3" t="s">
        <v>186</v>
      </c>
      <c r="E55" s="4" t="s">
        <v>187</v>
      </c>
      <c r="F55" s="3" t="s">
        <v>81</v>
      </c>
      <c r="G55" s="37">
        <v>44562</v>
      </c>
      <c r="H55" s="38" t="s">
        <v>18</v>
      </c>
      <c r="I55" s="38" t="s">
        <v>18</v>
      </c>
      <c r="J55" s="38" t="s">
        <v>18</v>
      </c>
      <c r="K55" s="4" t="s">
        <v>83</v>
      </c>
      <c r="L55" s="38">
        <v>12</v>
      </c>
      <c r="M55" s="38">
        <f t="shared" ca="1" si="0"/>
        <v>1</v>
      </c>
      <c r="N55" s="38">
        <f t="shared" ca="1" si="1"/>
        <v>11</v>
      </c>
      <c r="O55" s="39">
        <f t="shared" ca="1" si="2"/>
        <v>0.91666666666666663</v>
      </c>
      <c r="P55" s="10">
        <v>59210</v>
      </c>
      <c r="Q55" s="10">
        <v>500000</v>
      </c>
      <c r="R55" s="10">
        <f t="shared" si="3"/>
        <v>440790</v>
      </c>
      <c r="S55" s="39">
        <f t="shared" si="4"/>
        <v>0.88158000000000003</v>
      </c>
      <c r="T55" s="12">
        <v>534872</v>
      </c>
      <c r="U55" s="12">
        <f t="shared" si="7"/>
        <v>427897.60000000003</v>
      </c>
      <c r="V55" s="12">
        <f t="shared" ca="1" si="5"/>
        <v>392239.46666666667</v>
      </c>
      <c r="W55" s="41">
        <f t="shared" si="6"/>
        <v>377225.96620800003</v>
      </c>
    </row>
    <row r="56" spans="1:23" x14ac:dyDescent="0.25">
      <c r="A56" s="35">
        <v>2104</v>
      </c>
      <c r="B56" s="17">
        <v>2021</v>
      </c>
      <c r="C56" s="3" t="s">
        <v>78</v>
      </c>
      <c r="D56" s="3" t="s">
        <v>188</v>
      </c>
      <c r="E56" s="4" t="s">
        <v>189</v>
      </c>
      <c r="F56" s="3" t="s">
        <v>81</v>
      </c>
      <c r="G56" s="37">
        <v>44562</v>
      </c>
      <c r="H56" s="38" t="s">
        <v>18</v>
      </c>
      <c r="I56" s="38" t="s">
        <v>18</v>
      </c>
      <c r="J56" s="38" t="s">
        <v>18</v>
      </c>
      <c r="K56" s="4" t="s">
        <v>83</v>
      </c>
      <c r="L56" s="38">
        <v>12</v>
      </c>
      <c r="M56" s="38">
        <f t="shared" ca="1" si="0"/>
        <v>1</v>
      </c>
      <c r="N56" s="38">
        <f t="shared" ca="1" si="1"/>
        <v>11</v>
      </c>
      <c r="O56" s="39">
        <f t="shared" ca="1" si="2"/>
        <v>0.91666666666666663</v>
      </c>
      <c r="P56" s="10">
        <v>54154</v>
      </c>
      <c r="Q56" s="10">
        <v>500000</v>
      </c>
      <c r="R56" s="10">
        <f t="shared" si="3"/>
        <v>445846</v>
      </c>
      <c r="S56" s="39">
        <f t="shared" si="4"/>
        <v>0.89169200000000004</v>
      </c>
      <c r="T56" s="12">
        <v>534872</v>
      </c>
      <c r="U56" s="12">
        <f t="shared" si="7"/>
        <v>427897.60000000003</v>
      </c>
      <c r="V56" s="12">
        <f t="shared" ca="1" si="5"/>
        <v>392239.46666666667</v>
      </c>
      <c r="W56" s="41">
        <f t="shared" si="6"/>
        <v>381552.86673920002</v>
      </c>
    </row>
    <row r="57" spans="1:23" x14ac:dyDescent="0.25">
      <c r="A57" s="35">
        <v>2105</v>
      </c>
      <c r="B57" s="17">
        <v>2021</v>
      </c>
      <c r="C57" s="3" t="s">
        <v>78</v>
      </c>
      <c r="D57" s="3" t="s">
        <v>190</v>
      </c>
      <c r="E57" s="4" t="s">
        <v>191</v>
      </c>
      <c r="F57" s="3" t="s">
        <v>81</v>
      </c>
      <c r="G57" s="37">
        <v>44562</v>
      </c>
      <c r="H57" s="38" t="s">
        <v>18</v>
      </c>
      <c r="I57" s="38" t="s">
        <v>18</v>
      </c>
      <c r="J57" s="38" t="s">
        <v>18</v>
      </c>
      <c r="K57" s="4" t="s">
        <v>83</v>
      </c>
      <c r="L57" s="38">
        <v>12</v>
      </c>
      <c r="M57" s="38">
        <f t="shared" ca="1" si="0"/>
        <v>1</v>
      </c>
      <c r="N57" s="38">
        <f t="shared" ca="1" si="1"/>
        <v>11</v>
      </c>
      <c r="O57" s="39">
        <f t="shared" ca="1" si="2"/>
        <v>0.91666666666666663</v>
      </c>
      <c r="P57" s="10">
        <v>60651</v>
      </c>
      <c r="Q57" s="10">
        <v>500000</v>
      </c>
      <c r="R57" s="10">
        <f t="shared" si="3"/>
        <v>439349</v>
      </c>
      <c r="S57" s="39">
        <f t="shared" si="4"/>
        <v>0.87869799999999998</v>
      </c>
      <c r="T57" s="12">
        <v>534872</v>
      </c>
      <c r="U57" s="12">
        <f t="shared" si="7"/>
        <v>427897.60000000003</v>
      </c>
      <c r="V57" s="12">
        <f t="shared" ca="1" si="5"/>
        <v>392239.46666666667</v>
      </c>
      <c r="W57" s="41">
        <f t="shared" si="6"/>
        <v>375992.76532480004</v>
      </c>
    </row>
    <row r="58" spans="1:23" x14ac:dyDescent="0.25">
      <c r="A58" s="35">
        <v>2106</v>
      </c>
      <c r="B58" s="17">
        <v>2021</v>
      </c>
      <c r="C58" s="3" t="s">
        <v>78</v>
      </c>
      <c r="D58" s="3" t="s">
        <v>192</v>
      </c>
      <c r="E58" s="4" t="s">
        <v>193</v>
      </c>
      <c r="F58" s="3" t="s">
        <v>81</v>
      </c>
      <c r="G58" s="37">
        <v>44562</v>
      </c>
      <c r="H58" s="38" t="s">
        <v>18</v>
      </c>
      <c r="I58" s="38" t="s">
        <v>18</v>
      </c>
      <c r="J58" s="38" t="s">
        <v>18</v>
      </c>
      <c r="K58" s="4" t="s">
        <v>83</v>
      </c>
      <c r="L58" s="38">
        <v>12</v>
      </c>
      <c r="M58" s="38">
        <f t="shared" ca="1" si="0"/>
        <v>1</v>
      </c>
      <c r="N58" s="38">
        <f t="shared" ca="1" si="1"/>
        <v>11</v>
      </c>
      <c r="O58" s="39">
        <f t="shared" ca="1" si="2"/>
        <v>0.91666666666666663</v>
      </c>
      <c r="P58" s="10">
        <v>65446</v>
      </c>
      <c r="Q58" s="10">
        <v>500000</v>
      </c>
      <c r="R58" s="10">
        <f t="shared" si="3"/>
        <v>434554</v>
      </c>
      <c r="S58" s="39">
        <f t="shared" si="4"/>
        <v>0.86910799999999999</v>
      </c>
      <c r="T58" s="12">
        <v>534872</v>
      </c>
      <c r="U58" s="12">
        <f t="shared" si="7"/>
        <v>427897.60000000003</v>
      </c>
      <c r="V58" s="12">
        <f t="shared" ca="1" si="5"/>
        <v>392239.46666666667</v>
      </c>
      <c r="W58" s="41">
        <f t="shared" si="6"/>
        <v>371889.22734080005</v>
      </c>
    </row>
    <row r="59" spans="1:23" x14ac:dyDescent="0.25">
      <c r="A59" s="35">
        <v>2107</v>
      </c>
      <c r="B59" s="17">
        <v>2021</v>
      </c>
      <c r="C59" s="3" t="s">
        <v>78</v>
      </c>
      <c r="D59" s="3" t="s">
        <v>194</v>
      </c>
      <c r="E59" s="4" t="s">
        <v>195</v>
      </c>
      <c r="F59" s="3" t="s">
        <v>81</v>
      </c>
      <c r="G59" s="37">
        <v>44562</v>
      </c>
      <c r="H59" s="38" t="s">
        <v>18</v>
      </c>
      <c r="I59" s="38" t="s">
        <v>18</v>
      </c>
      <c r="J59" s="38" t="s">
        <v>18</v>
      </c>
      <c r="K59" s="4" t="s">
        <v>83</v>
      </c>
      <c r="L59" s="38">
        <v>12</v>
      </c>
      <c r="M59" s="38">
        <f t="shared" ca="1" si="0"/>
        <v>1</v>
      </c>
      <c r="N59" s="38">
        <f t="shared" ca="1" si="1"/>
        <v>11</v>
      </c>
      <c r="O59" s="39">
        <f t="shared" ca="1" si="2"/>
        <v>0.91666666666666663</v>
      </c>
      <c r="P59" s="10">
        <v>68006</v>
      </c>
      <c r="Q59" s="10">
        <v>500000</v>
      </c>
      <c r="R59" s="10">
        <f t="shared" si="3"/>
        <v>431994</v>
      </c>
      <c r="S59" s="39">
        <f t="shared" si="4"/>
        <v>0.86398799999999998</v>
      </c>
      <c r="T59" s="12">
        <v>534872</v>
      </c>
      <c r="U59" s="12">
        <f t="shared" si="7"/>
        <v>427897.60000000003</v>
      </c>
      <c r="V59" s="12">
        <f t="shared" ca="1" si="5"/>
        <v>392239.46666666667</v>
      </c>
      <c r="W59" s="41">
        <f t="shared" si="6"/>
        <v>369698.39162880002</v>
      </c>
    </row>
    <row r="60" spans="1:23" x14ac:dyDescent="0.25">
      <c r="A60" s="35">
        <v>2108</v>
      </c>
      <c r="B60" s="17">
        <v>2021</v>
      </c>
      <c r="C60" s="3" t="s">
        <v>78</v>
      </c>
      <c r="D60" s="3" t="s">
        <v>196</v>
      </c>
      <c r="E60" s="4" t="s">
        <v>197</v>
      </c>
      <c r="F60" s="3" t="s">
        <v>81</v>
      </c>
      <c r="G60" s="37">
        <v>44562</v>
      </c>
      <c r="H60" s="38" t="s">
        <v>18</v>
      </c>
      <c r="I60" s="38" t="s">
        <v>18</v>
      </c>
      <c r="J60" s="38" t="s">
        <v>18</v>
      </c>
      <c r="K60" s="4" t="s">
        <v>83</v>
      </c>
      <c r="L60" s="38">
        <v>12</v>
      </c>
      <c r="M60" s="38">
        <f t="shared" ca="1" si="0"/>
        <v>1</v>
      </c>
      <c r="N60" s="38">
        <f t="shared" ca="1" si="1"/>
        <v>11</v>
      </c>
      <c r="O60" s="39">
        <f t="shared" ca="1" si="2"/>
        <v>0.91666666666666663</v>
      </c>
      <c r="P60" s="10">
        <v>66022</v>
      </c>
      <c r="Q60" s="10">
        <v>500000</v>
      </c>
      <c r="R60" s="10">
        <f t="shared" si="3"/>
        <v>433978</v>
      </c>
      <c r="S60" s="39">
        <f t="shared" si="4"/>
        <v>0.86795599999999995</v>
      </c>
      <c r="T60" s="12">
        <v>534872</v>
      </c>
      <c r="U60" s="12">
        <f t="shared" si="7"/>
        <v>427897.60000000003</v>
      </c>
      <c r="V60" s="12">
        <f t="shared" ca="1" si="5"/>
        <v>392239.46666666667</v>
      </c>
      <c r="W60" s="41">
        <f t="shared" si="6"/>
        <v>371396.28930559999</v>
      </c>
    </row>
    <row r="61" spans="1:23" x14ac:dyDescent="0.25">
      <c r="A61" s="35">
        <v>2109</v>
      </c>
      <c r="B61" s="17">
        <v>2021</v>
      </c>
      <c r="C61" s="3" t="s">
        <v>78</v>
      </c>
      <c r="D61" s="3" t="s">
        <v>198</v>
      </c>
      <c r="E61" s="4" t="s">
        <v>199</v>
      </c>
      <c r="F61" s="3" t="s">
        <v>81</v>
      </c>
      <c r="G61" s="37">
        <v>44562</v>
      </c>
      <c r="H61" s="38" t="s">
        <v>18</v>
      </c>
      <c r="I61" s="38" t="s">
        <v>18</v>
      </c>
      <c r="J61" s="38" t="s">
        <v>18</v>
      </c>
      <c r="K61" s="4" t="s">
        <v>83</v>
      </c>
      <c r="L61" s="38">
        <v>12</v>
      </c>
      <c r="M61" s="38">
        <f t="shared" ca="1" si="0"/>
        <v>1</v>
      </c>
      <c r="N61" s="38">
        <f t="shared" ca="1" si="1"/>
        <v>11</v>
      </c>
      <c r="O61" s="39">
        <f t="shared" ca="1" si="2"/>
        <v>0.91666666666666663</v>
      </c>
      <c r="P61" s="10">
        <v>69825</v>
      </c>
      <c r="Q61" s="10">
        <v>500000</v>
      </c>
      <c r="R61" s="10">
        <f t="shared" si="3"/>
        <v>430175</v>
      </c>
      <c r="S61" s="39">
        <f t="shared" si="4"/>
        <v>0.86034999999999995</v>
      </c>
      <c r="T61" s="12">
        <v>534872</v>
      </c>
      <c r="U61" s="12">
        <f t="shared" si="7"/>
        <v>427897.60000000003</v>
      </c>
      <c r="V61" s="12">
        <f t="shared" ca="1" si="5"/>
        <v>392239.46666666667</v>
      </c>
      <c r="W61" s="41">
        <f t="shared" si="6"/>
        <v>368141.70016000001</v>
      </c>
    </row>
    <row r="62" spans="1:23" ht="15" customHeight="1" thickBot="1" x14ac:dyDescent="0.3">
      <c r="A62" s="65">
        <v>2110</v>
      </c>
      <c r="B62" s="66">
        <v>2021</v>
      </c>
      <c r="C62" s="67" t="s">
        <v>78</v>
      </c>
      <c r="D62" s="67" t="s">
        <v>200</v>
      </c>
      <c r="E62" s="68" t="s">
        <v>201</v>
      </c>
      <c r="F62" s="67" t="s">
        <v>81</v>
      </c>
      <c r="G62" s="69">
        <v>44562</v>
      </c>
      <c r="H62" s="70" t="s">
        <v>18</v>
      </c>
      <c r="I62" s="70" t="s">
        <v>18</v>
      </c>
      <c r="J62" s="70" t="s">
        <v>18</v>
      </c>
      <c r="K62" s="68" t="s">
        <v>83</v>
      </c>
      <c r="L62" s="70">
        <v>12</v>
      </c>
      <c r="M62" s="70">
        <f t="shared" ca="1" si="0"/>
        <v>1</v>
      </c>
      <c r="N62" s="70">
        <f t="shared" ca="1" si="1"/>
        <v>11</v>
      </c>
      <c r="O62" s="71">
        <f t="shared" ca="1" si="2"/>
        <v>0.91666666666666663</v>
      </c>
      <c r="P62" s="72">
        <v>70113</v>
      </c>
      <c r="Q62" s="72">
        <v>500000</v>
      </c>
      <c r="R62" s="72">
        <f t="shared" si="3"/>
        <v>429887</v>
      </c>
      <c r="S62" s="71">
        <f t="shared" si="4"/>
        <v>0.85977400000000004</v>
      </c>
      <c r="T62" s="73">
        <v>534872</v>
      </c>
      <c r="U62" s="73">
        <f t="shared" si="7"/>
        <v>427897.60000000003</v>
      </c>
      <c r="V62" s="73">
        <f t="shared" ca="1" si="5"/>
        <v>392239.46666666667</v>
      </c>
      <c r="W62" s="74">
        <f t="shared" si="6"/>
        <v>367895.23114240007</v>
      </c>
    </row>
    <row r="63" spans="1:23" ht="15.75" thickBot="1" x14ac:dyDescent="0.3">
      <c r="L63" s="75" t="s">
        <v>202</v>
      </c>
      <c r="M63" s="76">
        <f ca="1">AVERAGEIF(K5:K62,"Active",M5:M62)</f>
        <v>7.5789473684210522</v>
      </c>
      <c r="O63" s="75" t="s">
        <v>203</v>
      </c>
      <c r="P63" s="77">
        <f>AVERAGEIF(K5:K62,"Active",P5:P62)</f>
        <v>451638.63157894736</v>
      </c>
    </row>
    <row r="64" spans="1:23" x14ac:dyDescent="0.25">
      <c r="D64" s="78" t="s">
        <v>204</v>
      </c>
      <c r="E64" s="2">
        <f>COUNTIF(K5:K62,"Active")</f>
        <v>57</v>
      </c>
      <c r="L64" s="79" t="s">
        <v>205</v>
      </c>
      <c r="M64" s="80">
        <v>7.7</v>
      </c>
      <c r="O64" s="81"/>
      <c r="P64" s="82"/>
    </row>
    <row r="65" spans="4:16" x14ac:dyDescent="0.25">
      <c r="D65" s="78" t="s">
        <v>206</v>
      </c>
      <c r="E65" s="2">
        <f>COUNTIF(K5:K62,"Inactive")</f>
        <v>1</v>
      </c>
      <c r="L65" s="79"/>
      <c r="O65" s="100" t="s">
        <v>3</v>
      </c>
      <c r="P65" s="100"/>
    </row>
    <row r="66" spans="4:16" x14ac:dyDescent="0.25">
      <c r="D66" s="78" t="s">
        <v>207</v>
      </c>
      <c r="E66" s="2">
        <f>COUNTIF(K5:K62,"Retired")</f>
        <v>0</v>
      </c>
      <c r="O66" s="83" t="s">
        <v>208</v>
      </c>
      <c r="P66" s="84">
        <f>AVERAGE(P5:P10)</f>
        <v>628140.16666666663</v>
      </c>
    </row>
    <row r="67" spans="4:16" x14ac:dyDescent="0.25">
      <c r="D67" s="78" t="s">
        <v>15</v>
      </c>
      <c r="E67" s="2">
        <v>3</v>
      </c>
      <c r="O67" s="83" t="s">
        <v>209</v>
      </c>
      <c r="P67" s="84">
        <f>AVERAGE(P11:P28)</f>
        <v>787735.27777777775</v>
      </c>
    </row>
    <row r="68" spans="4:16" x14ac:dyDescent="0.25">
      <c r="D68" s="78" t="s">
        <v>210</v>
      </c>
      <c r="E68" s="2">
        <f>E64-E67</f>
        <v>54</v>
      </c>
      <c r="O68" s="83" t="s">
        <v>211</v>
      </c>
      <c r="P68" s="84">
        <f>AVERAGE(P29:P33)</f>
        <v>393009.6</v>
      </c>
    </row>
    <row r="69" spans="4:16" x14ac:dyDescent="0.25">
      <c r="D69" s="78" t="s">
        <v>14</v>
      </c>
      <c r="E69" s="2">
        <v>45</v>
      </c>
      <c r="O69" s="83" t="s">
        <v>212</v>
      </c>
      <c r="P69" s="84">
        <f>AVERAGE(P34:P45)</f>
        <v>344140.25</v>
      </c>
    </row>
    <row r="70" spans="4:16" x14ac:dyDescent="0.25">
      <c r="D70" s="78" t="s">
        <v>16</v>
      </c>
      <c r="E70" s="2">
        <f>E68-E69</f>
        <v>9</v>
      </c>
      <c r="O70" s="83" t="s">
        <v>213</v>
      </c>
      <c r="P70" s="84">
        <f>AVERAGE(P46:P48)</f>
        <v>337354.33333333331</v>
      </c>
    </row>
    <row r="71" spans="4:16" x14ac:dyDescent="0.25">
      <c r="D71" s="78" t="s">
        <v>17</v>
      </c>
      <c r="E71" s="11">
        <f>E70/E69</f>
        <v>0.2</v>
      </c>
      <c r="O71" s="83" t="s">
        <v>214</v>
      </c>
      <c r="P71" s="84">
        <f>AVERAGE(P49:P52)</f>
        <v>232759.25</v>
      </c>
    </row>
    <row r="72" spans="4:16" x14ac:dyDescent="0.25">
      <c r="D72" s="78" t="s">
        <v>215</v>
      </c>
      <c r="E72" s="2">
        <f>SUM(E64:E66)</f>
        <v>58</v>
      </c>
      <c r="O72" s="83" t="s">
        <v>216</v>
      </c>
      <c r="P72" s="84">
        <f>AVERAGE(P54:P55)</f>
        <v>39503</v>
      </c>
    </row>
    <row r="73" spans="4:16" x14ac:dyDescent="0.25">
      <c r="F73" s="85"/>
      <c r="O73" s="83" t="s">
        <v>217</v>
      </c>
      <c r="P73" s="10">
        <f>AVERAGE(P55:P62)</f>
        <v>64178.375</v>
      </c>
    </row>
    <row r="74" spans="4:16" x14ac:dyDescent="0.25">
      <c r="D74" s="78" t="s">
        <v>218</v>
      </c>
      <c r="E74" s="4"/>
    </row>
    <row r="75" spans="4:16" x14ac:dyDescent="0.25">
      <c r="D75" s="3" t="s">
        <v>219</v>
      </c>
      <c r="E75" s="4">
        <f>COUNTIFS(K5:K62,"Active",B5:B62,"2008")</f>
        <v>6</v>
      </c>
    </row>
    <row r="76" spans="4:16" x14ac:dyDescent="0.25">
      <c r="D76" s="3" t="s">
        <v>220</v>
      </c>
      <c r="E76" s="4">
        <f>COUNTIFS(K5:K62,"Active",B5:B62,"2010")</f>
        <v>17</v>
      </c>
    </row>
    <row r="77" spans="4:16" x14ac:dyDescent="0.25">
      <c r="D77" s="3" t="s">
        <v>221</v>
      </c>
      <c r="E77" s="4">
        <f>COUNTIFS(K5:K62,"Active",B5:B62,"2012")</f>
        <v>5</v>
      </c>
    </row>
    <row r="78" spans="4:16" x14ac:dyDescent="0.25">
      <c r="D78" s="3" t="s">
        <v>222</v>
      </c>
      <c r="E78" s="4">
        <f>COUNTIFS(K5:K62,"Active",B5:B62,"2017")</f>
        <v>12</v>
      </c>
    </row>
    <row r="79" spans="4:16" x14ac:dyDescent="0.25">
      <c r="D79" s="3" t="s">
        <v>223</v>
      </c>
      <c r="E79" s="4">
        <f>COUNTIFS(K4:K62,"Active",B4:B62,"2018")</f>
        <v>3</v>
      </c>
    </row>
    <row r="80" spans="4:16" x14ac:dyDescent="0.25">
      <c r="D80" s="3" t="s">
        <v>224</v>
      </c>
      <c r="E80" s="4">
        <f>COUNTIFS(K5:K62,"Active",B5:B62,"2019")</f>
        <v>4</v>
      </c>
    </row>
    <row r="81" spans="4:5" x14ac:dyDescent="0.25">
      <c r="D81" s="3" t="s">
        <v>225</v>
      </c>
      <c r="E81" s="4">
        <v>2</v>
      </c>
    </row>
    <row r="82" spans="4:5" x14ac:dyDescent="0.25">
      <c r="D82" s="3" t="s">
        <v>226</v>
      </c>
      <c r="E82" s="4">
        <v>8</v>
      </c>
    </row>
    <row r="83" spans="4:5" x14ac:dyDescent="0.25">
      <c r="D83" s="78" t="s">
        <v>13</v>
      </c>
      <c r="E83" s="2">
        <f>SUM(E75:E82)</f>
        <v>57</v>
      </c>
    </row>
  </sheetData>
  <mergeCells count="1">
    <mergeCell ref="O65:P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Fleet Plan</vt:lpstr>
      <vt:lpstr>Current Fleet</vt:lpstr>
    </vt:vector>
  </TitlesOfParts>
  <Company>GoTriangle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Fahey</dc:creator>
  <cp:lastModifiedBy>Fahey, Brian</cp:lastModifiedBy>
  <cp:lastPrinted>2021-04-22T18:23:28Z</cp:lastPrinted>
  <dcterms:created xsi:type="dcterms:W3CDTF">2021-04-22T17:17:34Z</dcterms:created>
  <dcterms:modified xsi:type="dcterms:W3CDTF">2023-01-05T15:27:19Z</dcterms:modified>
</cp:coreProperties>
</file>